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264" windowWidth="14844" windowHeight="8652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I82" i="1"/>
  <c r="H82"/>
  <c r="G82"/>
  <c r="I80"/>
  <c r="H80"/>
  <c r="G80"/>
  <c r="I78"/>
  <c r="H78"/>
  <c r="G78"/>
  <c r="I76"/>
  <c r="H76"/>
  <c r="G76"/>
  <c r="I74"/>
  <c r="H74"/>
  <c r="G74"/>
  <c r="I71"/>
  <c r="H71"/>
  <c r="G71"/>
  <c r="I68"/>
  <c r="H68"/>
  <c r="G68"/>
  <c r="I65" l="1"/>
  <c r="H65"/>
  <c r="G65"/>
  <c r="I62"/>
  <c r="H62"/>
  <c r="G62"/>
  <c r="I54"/>
  <c r="H54"/>
  <c r="G54"/>
  <c r="I52"/>
  <c r="H52"/>
  <c r="G52"/>
  <c r="I50"/>
  <c r="H50"/>
  <c r="G50"/>
  <c r="I48"/>
  <c r="H48"/>
  <c r="G48"/>
  <c r="I46"/>
  <c r="H46"/>
  <c r="G46"/>
  <c r="I43"/>
  <c r="H43"/>
  <c r="G43"/>
  <c r="I41"/>
  <c r="H41"/>
  <c r="G41"/>
  <c r="I38"/>
  <c r="H38"/>
  <c r="G38"/>
  <c r="I117"/>
  <c r="H117"/>
  <c r="G117"/>
  <c r="I115"/>
  <c r="H115"/>
  <c r="G115"/>
  <c r="I113"/>
  <c r="H113"/>
  <c r="G113"/>
  <c r="I111"/>
  <c r="H111"/>
  <c r="G111"/>
  <c r="I108"/>
  <c r="H108"/>
  <c r="G108"/>
  <c r="I105"/>
  <c r="H105"/>
  <c r="G105"/>
  <c r="I102"/>
  <c r="H102"/>
  <c r="G102"/>
  <c r="I99"/>
  <c r="H99"/>
  <c r="G99"/>
  <c r="I97"/>
  <c r="H97"/>
  <c r="G97"/>
  <c r="I95"/>
  <c r="H95"/>
  <c r="G95"/>
  <c r="I92" l="1"/>
  <c r="H92"/>
  <c r="G92"/>
  <c r="I90"/>
  <c r="H90"/>
  <c r="G90"/>
  <c r="I88"/>
  <c r="H88"/>
  <c r="G88"/>
  <c r="I86"/>
  <c r="H86"/>
  <c r="G86"/>
  <c r="I84"/>
  <c r="H84"/>
  <c r="G84"/>
  <c r="I24"/>
  <c r="H24"/>
  <c r="G24"/>
  <c r="I6"/>
  <c r="H6"/>
  <c r="G6"/>
  <c r="I26"/>
  <c r="H26"/>
  <c r="G26"/>
  <c r="I32"/>
  <c r="G32"/>
  <c r="H32"/>
  <c r="I244"/>
  <c r="H244"/>
  <c r="G244"/>
  <c r="I241"/>
  <c r="H241"/>
  <c r="G241"/>
  <c r="I238"/>
  <c r="H238"/>
  <c r="G238"/>
  <c r="I155"/>
  <c r="H155"/>
  <c r="G155"/>
  <c r="I153"/>
  <c r="H153"/>
  <c r="G153"/>
  <c r="I151"/>
  <c r="H151"/>
  <c r="G151"/>
  <c r="I149"/>
  <c r="H149"/>
  <c r="G149"/>
  <c r="I147"/>
  <c r="H147"/>
  <c r="G147"/>
  <c r="I145"/>
  <c r="H145"/>
  <c r="G145"/>
  <c r="I143"/>
  <c r="H143"/>
  <c r="G143"/>
  <c r="I35"/>
  <c r="H35"/>
  <c r="G35"/>
  <c r="I22"/>
  <c r="H22"/>
  <c r="G22"/>
  <c r="I20"/>
  <c r="H20"/>
  <c r="G20"/>
  <c r="I18"/>
  <c r="H18"/>
  <c r="G18"/>
  <c r="I16"/>
  <c r="H16"/>
  <c r="G16"/>
  <c r="I14"/>
  <c r="H14"/>
  <c r="G14"/>
  <c r="I12"/>
  <c r="H12"/>
  <c r="G12"/>
  <c r="I10" l="1"/>
  <c r="H10"/>
  <c r="G10"/>
  <c r="I8"/>
  <c r="H8"/>
  <c r="G8"/>
  <c r="I30"/>
  <c r="H30"/>
  <c r="G30"/>
  <c r="I28"/>
  <c r="H28"/>
  <c r="G28"/>
  <c r="I235"/>
  <c r="H235"/>
  <c r="G235"/>
  <c r="I232"/>
  <c r="H232"/>
  <c r="G232"/>
  <c r="I229"/>
  <c r="H229"/>
  <c r="G229"/>
  <c r="I226"/>
  <c r="H226"/>
  <c r="G226"/>
  <c r="I223"/>
  <c r="H223"/>
  <c r="G223"/>
  <c r="I220"/>
  <c r="H220"/>
  <c r="G220"/>
  <c r="I217"/>
  <c r="H217"/>
  <c r="G217"/>
  <c r="I214"/>
  <c r="H214"/>
  <c r="G214"/>
  <c r="I172"/>
  <c r="H172"/>
  <c r="G172"/>
  <c r="I169"/>
  <c r="H169"/>
  <c r="G169"/>
  <c r="I166"/>
  <c r="H166"/>
  <c r="G166"/>
  <c r="I163"/>
  <c r="H163"/>
  <c r="G163"/>
  <c r="I160"/>
  <c r="H160"/>
  <c r="G160"/>
  <c r="G141"/>
  <c r="H141"/>
  <c r="I141"/>
  <c r="G139"/>
  <c r="H139"/>
  <c r="I139"/>
  <c r="I137"/>
  <c r="H137"/>
  <c r="G137"/>
  <c r="H135"/>
  <c r="I135"/>
  <c r="G133"/>
  <c r="H133"/>
  <c r="I133"/>
  <c r="G131"/>
  <c r="H131"/>
  <c r="I131"/>
  <c r="G129"/>
  <c r="H129"/>
  <c r="I129"/>
  <c r="G127"/>
  <c r="H127"/>
  <c r="I127"/>
  <c r="G125"/>
  <c r="H125"/>
  <c r="I125"/>
  <c r="G123"/>
  <c r="H123"/>
  <c r="I123"/>
  <c r="G121"/>
  <c r="H121"/>
  <c r="I121"/>
  <c r="I119"/>
  <c r="H119"/>
  <c r="G119"/>
  <c r="I211"/>
  <c r="H211"/>
  <c r="G211"/>
  <c r="I208"/>
  <c r="H208"/>
  <c r="G208"/>
  <c r="I205"/>
  <c r="H205"/>
  <c r="G205"/>
  <c r="I202"/>
  <c r="H202"/>
  <c r="G202"/>
  <c r="I199"/>
  <c r="H199"/>
  <c r="G199"/>
  <c r="I196"/>
  <c r="H196"/>
  <c r="G196"/>
  <c r="I193"/>
  <c r="H193"/>
  <c r="G193"/>
  <c r="I190"/>
  <c r="H190"/>
  <c r="G190"/>
  <c r="I157"/>
  <c r="H157"/>
  <c r="G157"/>
  <c r="H187"/>
  <c r="I187"/>
  <c r="G187"/>
  <c r="I184"/>
  <c r="H184"/>
  <c r="G184"/>
  <c r="I181"/>
  <c r="H181"/>
  <c r="G181"/>
  <c r="I178"/>
  <c r="H178"/>
  <c r="G178"/>
  <c r="G175"/>
  <c r="I175"/>
  <c r="H175"/>
</calcChain>
</file>

<file path=xl/sharedStrings.xml><?xml version="1.0" encoding="utf-8"?>
<sst xmlns="http://schemas.openxmlformats.org/spreadsheetml/2006/main" count="547" uniqueCount="114">
  <si>
    <t>Раздельные сведения о доходах в  виде платежей за содержание и ремонт многоквартирного дома (Форма 731-4)</t>
  </si>
  <si>
    <t>Населенный пункт</t>
  </si>
  <si>
    <t>Улица (микрорайон)</t>
  </si>
  <si>
    <t>Дом</t>
  </si>
  <si>
    <t>С дд.мм.гг</t>
  </si>
  <si>
    <t>По дд.мм.гг</t>
  </si>
  <si>
    <t>Наименование услуг и работ</t>
  </si>
  <si>
    <t>Начислено, руб.</t>
  </si>
  <si>
    <t>Оплачено, тыс. руб.</t>
  </si>
  <si>
    <t>Задолженность/остаток руб.</t>
  </si>
  <si>
    <t>Иркутск</t>
  </si>
  <si>
    <t>м-н Ершовский</t>
  </si>
  <si>
    <t>28/1</t>
  </si>
  <si>
    <t>по содержанию и ремонту многоквартирного дома, всего:</t>
  </si>
  <si>
    <t>в т.ч., за текущий ремонт:</t>
  </si>
  <si>
    <t>28/2</t>
  </si>
  <si>
    <t>28/3</t>
  </si>
  <si>
    <t>28/4</t>
  </si>
  <si>
    <t>28/5</t>
  </si>
  <si>
    <t>28/6</t>
  </si>
  <si>
    <t>28/7</t>
  </si>
  <si>
    <t>28/8</t>
  </si>
  <si>
    <t>28/9</t>
  </si>
  <si>
    <t>28/10</t>
  </si>
  <si>
    <t>28/11</t>
  </si>
  <si>
    <t>28/12</t>
  </si>
  <si>
    <t>28/13</t>
  </si>
  <si>
    <t>21</t>
  </si>
  <si>
    <t>29</t>
  </si>
  <si>
    <t>31</t>
  </si>
  <si>
    <t>65 А</t>
  </si>
  <si>
    <t>66</t>
  </si>
  <si>
    <t>89/1</t>
  </si>
  <si>
    <t>89/2</t>
  </si>
  <si>
    <t>89/3</t>
  </si>
  <si>
    <t xml:space="preserve">91А </t>
  </si>
  <si>
    <t>102</t>
  </si>
  <si>
    <t>124</t>
  </si>
  <si>
    <t>126</t>
  </si>
  <si>
    <t>128</t>
  </si>
  <si>
    <t>128 А</t>
  </si>
  <si>
    <t>130</t>
  </si>
  <si>
    <t>130 А</t>
  </si>
  <si>
    <t>по содержанию и ремонту многоквартирного дома, всего</t>
  </si>
  <si>
    <t>130 Б</t>
  </si>
  <si>
    <t>132</t>
  </si>
  <si>
    <t>132 Б</t>
  </si>
  <si>
    <t>132 В</t>
  </si>
  <si>
    <t>132 Г</t>
  </si>
  <si>
    <t>134</t>
  </si>
  <si>
    <t>136</t>
  </si>
  <si>
    <t>136 А</t>
  </si>
  <si>
    <t>138</t>
  </si>
  <si>
    <t>140</t>
  </si>
  <si>
    <t>142</t>
  </si>
  <si>
    <t>142 А</t>
  </si>
  <si>
    <t>142 Б</t>
  </si>
  <si>
    <t>144</t>
  </si>
  <si>
    <t>146</t>
  </si>
  <si>
    <t>148</t>
  </si>
  <si>
    <t>150</t>
  </si>
  <si>
    <t>152</t>
  </si>
  <si>
    <t>154</t>
  </si>
  <si>
    <t>158</t>
  </si>
  <si>
    <t>160</t>
  </si>
  <si>
    <t>162</t>
  </si>
  <si>
    <t>164</t>
  </si>
  <si>
    <t>166</t>
  </si>
  <si>
    <t>168</t>
  </si>
  <si>
    <t>170</t>
  </si>
  <si>
    <t>172</t>
  </si>
  <si>
    <t>174</t>
  </si>
  <si>
    <t>176</t>
  </si>
  <si>
    <t>178</t>
  </si>
  <si>
    <t>180</t>
  </si>
  <si>
    <t>182</t>
  </si>
  <si>
    <t>184</t>
  </si>
  <si>
    <t>ул. Багратиона</t>
  </si>
  <si>
    <t>50/1</t>
  </si>
  <si>
    <t>50/2</t>
  </si>
  <si>
    <t>50/3</t>
  </si>
  <si>
    <t>50/4</t>
  </si>
  <si>
    <t>50/5</t>
  </si>
  <si>
    <t>50/6</t>
  </si>
  <si>
    <t>50/7</t>
  </si>
  <si>
    <t>иркутский район</t>
  </si>
  <si>
    <t>микрорайон Зелёный берег, ул. Кедровая</t>
  </si>
  <si>
    <t>4</t>
  </si>
  <si>
    <t>по содержанию и ремонту многоквартирного дома, благоустройство придомовой территории и организация складирования мест ТБО, всего:</t>
  </si>
  <si>
    <t>благоустройство придомовой территории и мест складирования ТБО:</t>
  </si>
  <si>
    <t>микрорайон Зелёный берег, ул. Зелёная</t>
  </si>
  <si>
    <t>3</t>
  </si>
  <si>
    <t>5</t>
  </si>
  <si>
    <t>по содержанию и ремонту многоквартирного дома, благоустройство придомовой территории и организация складирования мест ТБО, всего</t>
  </si>
  <si>
    <t>8</t>
  </si>
  <si>
    <t>10</t>
  </si>
  <si>
    <t>11</t>
  </si>
  <si>
    <t>12</t>
  </si>
  <si>
    <t>14</t>
  </si>
  <si>
    <t>17</t>
  </si>
  <si>
    <t>19</t>
  </si>
  <si>
    <t>микрорайон Зелёный берег, ул. Сибирская</t>
  </si>
  <si>
    <t>2</t>
  </si>
  <si>
    <t>6</t>
  </si>
  <si>
    <t>микрорайон Зелёный берег, ул. Сибирсая</t>
  </si>
  <si>
    <t>16</t>
  </si>
  <si>
    <t>микрорайон Зелёный берег, ул. Снежная</t>
  </si>
  <si>
    <t>1</t>
  </si>
  <si>
    <t>6 а</t>
  </si>
  <si>
    <t>7</t>
  </si>
  <si>
    <t>9</t>
  </si>
  <si>
    <t>микрорайон Зелёный берег, ул. Берёзовая</t>
  </si>
  <si>
    <t>в т.ч., содержание бойлера:</t>
  </si>
  <si>
    <t>в т.ч. содержание бойлера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</si>
</sst>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8"/>
      <color theme="10"/>
      <name val="Arial"/>
      <family val="2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4" fontId="0" fillId="0" borderId="1" xfId="0" applyNumberFormat="1" applyFont="1" applyBorder="1" applyAlignment="1" applyProtection="1">
      <alignment horizontal="center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49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 horizontal="right"/>
      <protection hidden="1"/>
    </xf>
    <xf numFmtId="0" fontId="0" fillId="0" borderId="4" xfId="0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0" fontId="1" fillId="0" borderId="3" xfId="0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topLeftCell="A37" zoomScale="80" zoomScaleNormal="80" workbookViewId="0">
      <selection activeCell="G56" sqref="G56"/>
    </sheetView>
  </sheetViews>
  <sheetFormatPr defaultColWidth="17.5546875" defaultRowHeight="14.4"/>
  <cols>
    <col min="1" max="1" width="12.21875" style="1" customWidth="1"/>
    <col min="2" max="2" width="19.6640625" style="1" customWidth="1"/>
    <col min="3" max="3" width="10.33203125" style="1" customWidth="1"/>
    <col min="4" max="4" width="15.33203125" style="1" customWidth="1"/>
    <col min="5" max="5" width="13.33203125" style="1" customWidth="1"/>
    <col min="6" max="6" width="27.5546875" style="1" customWidth="1"/>
    <col min="7" max="7" width="13.77734375" style="2" customWidth="1"/>
    <col min="8" max="8" width="14.109375" style="3" customWidth="1"/>
    <col min="9" max="9" width="15.77734375" style="5" customWidth="1"/>
    <col min="10" max="16384" width="17.5546875" style="1"/>
  </cols>
  <sheetData>
    <row r="1" spans="1:9">
      <c r="I1" s="4"/>
    </row>
    <row r="2" spans="1:9">
      <c r="B2" s="25" t="s">
        <v>0</v>
      </c>
      <c r="C2" s="25"/>
      <c r="D2" s="25"/>
      <c r="E2" s="25"/>
      <c r="F2" s="25"/>
      <c r="G2" s="25"/>
      <c r="H2" s="25"/>
    </row>
    <row r="5" spans="1:9" s="10" customFormat="1" ht="28.8">
      <c r="A5" s="6" t="s">
        <v>1</v>
      </c>
      <c r="B5" s="7" t="s">
        <v>2</v>
      </c>
      <c r="C5" s="8" t="s">
        <v>3</v>
      </c>
      <c r="D5" s="7" t="s">
        <v>4</v>
      </c>
      <c r="E5" s="7" t="s">
        <v>5</v>
      </c>
      <c r="F5" s="6" t="s">
        <v>6</v>
      </c>
      <c r="G5" s="6" t="s">
        <v>7</v>
      </c>
      <c r="H5" s="9" t="s">
        <v>8</v>
      </c>
      <c r="I5" s="6" t="s">
        <v>9</v>
      </c>
    </row>
    <row r="6" spans="1:9" ht="53.4" customHeight="1">
      <c r="A6" s="11" t="s">
        <v>10</v>
      </c>
      <c r="B6" s="11" t="s">
        <v>11</v>
      </c>
      <c r="C6" s="12" t="s">
        <v>12</v>
      </c>
      <c r="D6" s="13">
        <v>41275</v>
      </c>
      <c r="E6" s="13">
        <v>41639</v>
      </c>
      <c r="F6" s="14" t="s">
        <v>13</v>
      </c>
      <c r="G6" s="15">
        <f>188303.1+G7</f>
        <v>257521.32</v>
      </c>
      <c r="H6" s="15">
        <f>143563.22+H7+61.81+2208.28</f>
        <v>202235.47</v>
      </c>
      <c r="I6" s="15">
        <f>89382.88+I7+579.26+16.61</f>
        <v>128698.38</v>
      </c>
    </row>
    <row r="7" spans="1:9">
      <c r="A7" s="22" t="s">
        <v>14</v>
      </c>
      <c r="B7" s="23"/>
      <c r="C7" s="23"/>
      <c r="D7" s="23"/>
      <c r="E7" s="23"/>
      <c r="F7" s="24"/>
      <c r="G7" s="15">
        <v>69218.22</v>
      </c>
      <c r="H7" s="15">
        <v>56402.16</v>
      </c>
      <c r="I7" s="15">
        <v>38719.629999999997</v>
      </c>
    </row>
    <row r="8" spans="1:9" ht="43.2">
      <c r="A8" s="11" t="s">
        <v>10</v>
      </c>
      <c r="B8" s="11" t="s">
        <v>11</v>
      </c>
      <c r="C8" s="12" t="s">
        <v>15</v>
      </c>
      <c r="D8" s="13">
        <v>41275</v>
      </c>
      <c r="E8" s="13">
        <v>41639</v>
      </c>
      <c r="F8" s="14" t="s">
        <v>13</v>
      </c>
      <c r="G8" s="15">
        <f>188453.7+G9</f>
        <v>257727.12</v>
      </c>
      <c r="H8" s="15">
        <f>148321.33+H9+79.98+2544.18</f>
        <v>206803.06</v>
      </c>
      <c r="I8" s="15">
        <f>81263.81+I9+3736.07</f>
        <v>121107.11000000002</v>
      </c>
    </row>
    <row r="9" spans="1:9">
      <c r="A9" s="22" t="s">
        <v>14</v>
      </c>
      <c r="B9" s="23"/>
      <c r="C9" s="23"/>
      <c r="D9" s="23"/>
      <c r="E9" s="23"/>
      <c r="F9" s="24"/>
      <c r="G9" s="15">
        <v>69273.42</v>
      </c>
      <c r="H9" s="15">
        <v>55857.57</v>
      </c>
      <c r="I9" s="15">
        <v>36107.230000000003</v>
      </c>
    </row>
    <row r="10" spans="1:9" ht="43.2">
      <c r="A10" s="11" t="s">
        <v>10</v>
      </c>
      <c r="B10" s="11" t="s">
        <v>11</v>
      </c>
      <c r="C10" s="12" t="s">
        <v>16</v>
      </c>
      <c r="D10" s="13">
        <v>41275</v>
      </c>
      <c r="E10" s="13">
        <v>41639</v>
      </c>
      <c r="F10" s="14" t="s">
        <v>13</v>
      </c>
      <c r="G10" s="15">
        <f>97027.26+G11</f>
        <v>132693.66</v>
      </c>
      <c r="H10" s="15">
        <f>89120.74+H11+74.97+2383.66</f>
        <v>125783.91</v>
      </c>
      <c r="I10" s="15">
        <f>28950.64+I11+3</f>
        <v>41071.18</v>
      </c>
    </row>
    <row r="11" spans="1:9">
      <c r="A11" s="22" t="s">
        <v>14</v>
      </c>
      <c r="B11" s="23"/>
      <c r="C11" s="23"/>
      <c r="D11" s="23"/>
      <c r="E11" s="23"/>
      <c r="F11" s="24"/>
      <c r="G11" s="15">
        <v>35666.400000000001</v>
      </c>
      <c r="H11" s="16">
        <v>34204.54</v>
      </c>
      <c r="I11" s="17">
        <v>12117.54</v>
      </c>
    </row>
    <row r="12" spans="1:9" ht="43.2">
      <c r="A12" s="11" t="s">
        <v>10</v>
      </c>
      <c r="B12" s="11" t="s">
        <v>11</v>
      </c>
      <c r="C12" s="12" t="s">
        <v>17</v>
      </c>
      <c r="D12" s="13">
        <v>41275</v>
      </c>
      <c r="E12" s="13">
        <v>41639</v>
      </c>
      <c r="F12" s="14" t="s">
        <v>13</v>
      </c>
      <c r="G12" s="15">
        <f>97205.04+G13</f>
        <v>132936.66</v>
      </c>
      <c r="H12" s="16">
        <f>67654.51+11.04</f>
        <v>67665.549999999988</v>
      </c>
      <c r="I12" s="17">
        <f>45226.02+I13+2.85</f>
        <v>62762.109999999993</v>
      </c>
    </row>
    <row r="13" spans="1:9">
      <c r="A13" s="22" t="s">
        <v>14</v>
      </c>
      <c r="B13" s="23"/>
      <c r="C13" s="23"/>
      <c r="D13" s="23"/>
      <c r="E13" s="23"/>
      <c r="F13" s="24"/>
      <c r="G13" s="15">
        <v>35731.620000000003</v>
      </c>
      <c r="H13" s="16">
        <v>25435.18</v>
      </c>
      <c r="I13" s="17">
        <v>17533.240000000002</v>
      </c>
    </row>
    <row r="14" spans="1:9" ht="43.2">
      <c r="A14" s="11" t="s">
        <v>10</v>
      </c>
      <c r="B14" s="11" t="s">
        <v>11</v>
      </c>
      <c r="C14" s="12" t="s">
        <v>18</v>
      </c>
      <c r="D14" s="13">
        <v>41275</v>
      </c>
      <c r="E14" s="13">
        <v>41639</v>
      </c>
      <c r="F14" s="14" t="s">
        <v>13</v>
      </c>
      <c r="G14" s="15">
        <f>186035.52+G15</f>
        <v>254420.09999999998</v>
      </c>
      <c r="H14" s="16">
        <f>102123.05+H15+426.05+4880.06</f>
        <v>148422.65</v>
      </c>
      <c r="I14" s="17">
        <f>155545.64+I15+37.52+7342.22</f>
        <v>238747.58000000002</v>
      </c>
    </row>
    <row r="15" spans="1:9">
      <c r="A15" s="22" t="s">
        <v>14</v>
      </c>
      <c r="B15" s="23"/>
      <c r="C15" s="23"/>
      <c r="D15" s="23"/>
      <c r="E15" s="23"/>
      <c r="F15" s="24"/>
      <c r="G15" s="15">
        <v>68384.58</v>
      </c>
      <c r="H15" s="16">
        <v>40993.49</v>
      </c>
      <c r="I15" s="17">
        <v>75822.2</v>
      </c>
    </row>
    <row r="16" spans="1:9" ht="43.2">
      <c r="A16" s="11" t="s">
        <v>10</v>
      </c>
      <c r="B16" s="11" t="s">
        <v>11</v>
      </c>
      <c r="C16" s="12" t="s">
        <v>19</v>
      </c>
      <c r="D16" s="13">
        <v>41275</v>
      </c>
      <c r="E16" s="13">
        <v>41639</v>
      </c>
      <c r="F16" s="14" t="s">
        <v>13</v>
      </c>
      <c r="G16" s="15">
        <f>188002.92+G17</f>
        <v>257110.80000000002</v>
      </c>
      <c r="H16" s="16">
        <f>149151.28+H17+239.88+4550.4</f>
        <v>213588.55</v>
      </c>
      <c r="I16" s="17">
        <f>87035.56+I17+204.91+5110.34</f>
        <v>129612.57999999999</v>
      </c>
    </row>
    <row r="17" spans="1:9">
      <c r="A17" s="22" t="s">
        <v>14</v>
      </c>
      <c r="B17" s="23"/>
      <c r="C17" s="23"/>
      <c r="D17" s="23"/>
      <c r="E17" s="23"/>
      <c r="F17" s="24"/>
      <c r="G17" s="15">
        <v>69107.88</v>
      </c>
      <c r="H17" s="16">
        <v>59646.99</v>
      </c>
      <c r="I17" s="17">
        <v>37261.769999999997</v>
      </c>
    </row>
    <row r="18" spans="1:9" ht="43.2">
      <c r="A18" s="11" t="s">
        <v>10</v>
      </c>
      <c r="B18" s="11" t="s">
        <v>11</v>
      </c>
      <c r="C18" s="12" t="s">
        <v>20</v>
      </c>
      <c r="D18" s="13">
        <v>41275</v>
      </c>
      <c r="E18" s="13">
        <v>41639</v>
      </c>
      <c r="F18" s="14" t="s">
        <v>13</v>
      </c>
      <c r="G18" s="15">
        <f>97437.3+G19</f>
        <v>133254.54</v>
      </c>
      <c r="H18" s="16">
        <f>95228.78+H19+1087.17+24.01</f>
        <v>133869.92000000001</v>
      </c>
      <c r="I18" s="17">
        <f>27567.17+I19+3748.27+1918.7</f>
        <v>45947.80999999999</v>
      </c>
    </row>
    <row r="19" spans="1:9">
      <c r="A19" s="22" t="s">
        <v>14</v>
      </c>
      <c r="B19" s="23"/>
      <c r="C19" s="23"/>
      <c r="D19" s="23"/>
      <c r="E19" s="23"/>
      <c r="F19" s="24"/>
      <c r="G19" s="15">
        <v>35817.24</v>
      </c>
      <c r="H19" s="16">
        <v>37529.96</v>
      </c>
      <c r="I19" s="17">
        <v>12713.67</v>
      </c>
    </row>
    <row r="20" spans="1:9" ht="43.2">
      <c r="A20" s="11" t="s">
        <v>10</v>
      </c>
      <c r="B20" s="11" t="s">
        <v>11</v>
      </c>
      <c r="C20" s="12" t="s">
        <v>21</v>
      </c>
      <c r="D20" s="13">
        <v>41275</v>
      </c>
      <c r="E20" s="13">
        <v>41639</v>
      </c>
      <c r="F20" s="14" t="s">
        <v>13</v>
      </c>
      <c r="G20" s="15">
        <f>190444.68+G21</f>
        <v>260450.28</v>
      </c>
      <c r="H20" s="16">
        <f>142734.91+H21+274.71+9638.59</f>
        <v>206409.90999999997</v>
      </c>
      <c r="I20" s="17">
        <f>104436.93+131.1+4058.96</f>
        <v>108626.99</v>
      </c>
    </row>
    <row r="21" spans="1:9">
      <c r="A21" s="22" t="s">
        <v>14</v>
      </c>
      <c r="B21" s="23"/>
      <c r="C21" s="23"/>
      <c r="D21" s="23"/>
      <c r="E21" s="23"/>
      <c r="F21" s="24"/>
      <c r="G21" s="15">
        <v>70005.600000000006</v>
      </c>
      <c r="H21" s="16">
        <v>53761.7</v>
      </c>
      <c r="I21" s="17">
        <v>51007.1</v>
      </c>
    </row>
    <row r="22" spans="1:9" ht="43.2">
      <c r="A22" s="11" t="s">
        <v>10</v>
      </c>
      <c r="B22" s="11" t="s">
        <v>11</v>
      </c>
      <c r="C22" s="12" t="s">
        <v>22</v>
      </c>
      <c r="D22" s="13">
        <v>41275</v>
      </c>
      <c r="E22" s="13">
        <v>41639</v>
      </c>
      <c r="F22" s="14" t="s">
        <v>13</v>
      </c>
      <c r="G22" s="15">
        <f>97369.26+G23</f>
        <v>133161.12</v>
      </c>
      <c r="H22" s="16">
        <f>84687.8+H23+119.03+2077.74</f>
        <v>118973.69</v>
      </c>
      <c r="I22" s="17">
        <f>30847.49+I23+1106.76</f>
        <v>47576.18</v>
      </c>
    </row>
    <row r="23" spans="1:9">
      <c r="A23" s="22" t="s">
        <v>14</v>
      </c>
      <c r="B23" s="23"/>
      <c r="C23" s="23"/>
      <c r="D23" s="23"/>
      <c r="E23" s="23"/>
      <c r="F23" s="24"/>
      <c r="G23" s="15">
        <v>35791.86</v>
      </c>
      <c r="H23" s="16">
        <v>32089.119999999999</v>
      </c>
      <c r="I23" s="17">
        <v>15621.93</v>
      </c>
    </row>
    <row r="24" spans="1:9" ht="43.2">
      <c r="A24" s="11" t="s">
        <v>10</v>
      </c>
      <c r="B24" s="11" t="s">
        <v>11</v>
      </c>
      <c r="C24" s="12" t="s">
        <v>23</v>
      </c>
      <c r="D24" s="13">
        <v>41275</v>
      </c>
      <c r="E24" s="13">
        <v>41639</v>
      </c>
      <c r="F24" s="14" t="s">
        <v>13</v>
      </c>
      <c r="G24" s="17">
        <f>191500.02+G25</f>
        <v>261893.52</v>
      </c>
      <c r="H24" s="17">
        <f>143955.84+H25+46.07+2401.25</f>
        <v>201725.22</v>
      </c>
      <c r="I24" s="17">
        <f>73125.85+I25+45+2019.32</f>
        <v>112094.39000000001</v>
      </c>
    </row>
    <row r="25" spans="1:9">
      <c r="A25" s="22" t="s">
        <v>14</v>
      </c>
      <c r="B25" s="23"/>
      <c r="C25" s="23"/>
      <c r="D25" s="23"/>
      <c r="E25" s="23"/>
      <c r="F25" s="24"/>
      <c r="G25" s="17">
        <v>70393.5</v>
      </c>
      <c r="H25" s="17">
        <v>55322.06</v>
      </c>
      <c r="I25" s="17">
        <v>36904.22</v>
      </c>
    </row>
    <row r="26" spans="1:9" ht="43.2">
      <c r="A26" s="11" t="s">
        <v>10</v>
      </c>
      <c r="B26" s="11" t="s">
        <v>11</v>
      </c>
      <c r="C26" s="12" t="s">
        <v>24</v>
      </c>
      <c r="D26" s="13">
        <v>41275</v>
      </c>
      <c r="E26" s="13">
        <v>41639</v>
      </c>
      <c r="F26" s="14" t="s">
        <v>13</v>
      </c>
      <c r="G26" s="15">
        <f>190243.44+G27</f>
        <v>260174.94</v>
      </c>
      <c r="H26" s="16">
        <f>153850.47+H27+179.18+7531.49</f>
        <v>222633.50999999998</v>
      </c>
      <c r="I26" s="17">
        <f>86075.77+I27+29.09+4343.85</f>
        <v>135182.01</v>
      </c>
    </row>
    <row r="27" spans="1:9">
      <c r="A27" s="22" t="s">
        <v>14</v>
      </c>
      <c r="B27" s="23"/>
      <c r="C27" s="23"/>
      <c r="D27" s="23"/>
      <c r="E27" s="23"/>
      <c r="F27" s="24"/>
      <c r="G27" s="15">
        <v>69931.5</v>
      </c>
      <c r="H27" s="16">
        <v>61072.37</v>
      </c>
      <c r="I27" s="17">
        <v>44733.3</v>
      </c>
    </row>
    <row r="28" spans="1:9" ht="43.2">
      <c r="A28" s="11" t="s">
        <v>10</v>
      </c>
      <c r="B28" s="11" t="s">
        <v>11</v>
      </c>
      <c r="C28" s="12" t="s">
        <v>25</v>
      </c>
      <c r="D28" s="13">
        <v>41275</v>
      </c>
      <c r="E28" s="13">
        <v>41639</v>
      </c>
      <c r="F28" s="14" t="s">
        <v>13</v>
      </c>
      <c r="G28" s="15">
        <f>96030.18+G29</f>
        <v>131329.97999999998</v>
      </c>
      <c r="H28" s="15">
        <f>89795.42+H29+23.36+1226.2</f>
        <v>125099.4</v>
      </c>
      <c r="I28" s="15">
        <f>17655.45+I29+91.35</f>
        <v>29384.78</v>
      </c>
    </row>
    <row r="29" spans="1:9" ht="16.8" customHeight="1">
      <c r="A29" s="22" t="s">
        <v>14</v>
      </c>
      <c r="B29" s="23"/>
      <c r="C29" s="23"/>
      <c r="D29" s="23"/>
      <c r="E29" s="23"/>
      <c r="F29" s="24"/>
      <c r="G29" s="15">
        <v>35299.800000000003</v>
      </c>
      <c r="H29" s="15">
        <v>34054.42</v>
      </c>
      <c r="I29" s="15">
        <v>11637.98</v>
      </c>
    </row>
    <row r="30" spans="1:9" ht="43.2">
      <c r="A30" s="11" t="s">
        <v>10</v>
      </c>
      <c r="B30" s="11" t="s">
        <v>11</v>
      </c>
      <c r="C30" s="12" t="s">
        <v>26</v>
      </c>
      <c r="D30" s="13">
        <v>41275</v>
      </c>
      <c r="E30" s="13">
        <v>41639</v>
      </c>
      <c r="F30" s="14" t="s">
        <v>13</v>
      </c>
      <c r="G30" s="15">
        <f>92654.93+G31</f>
        <v>126703.41999999998</v>
      </c>
      <c r="H30" s="15">
        <f>80664.07+H31</f>
        <v>110330.40000000001</v>
      </c>
      <c r="I30" s="15">
        <f>20478.26+I31</f>
        <v>28388.89</v>
      </c>
    </row>
    <row r="31" spans="1:9">
      <c r="A31" s="22" t="s">
        <v>14</v>
      </c>
      <c r="B31" s="23"/>
      <c r="C31" s="23"/>
      <c r="D31" s="23"/>
      <c r="E31" s="23"/>
      <c r="F31" s="24"/>
      <c r="G31" s="15">
        <v>34048.49</v>
      </c>
      <c r="H31" s="15">
        <v>29666.33</v>
      </c>
      <c r="I31" s="15">
        <v>7910.63</v>
      </c>
    </row>
    <row r="32" spans="1:9" ht="43.2">
      <c r="A32" s="11" t="s">
        <v>10</v>
      </c>
      <c r="B32" s="11" t="s">
        <v>11</v>
      </c>
      <c r="C32" s="12" t="s">
        <v>27</v>
      </c>
      <c r="D32" s="13">
        <v>41275</v>
      </c>
      <c r="E32" s="13">
        <v>41639</v>
      </c>
      <c r="F32" s="14" t="s">
        <v>13</v>
      </c>
      <c r="G32" s="15">
        <f>50945.81+G33+G34+35621.44+442.8</f>
        <v>248822.25999999998</v>
      </c>
      <c r="H32" s="15">
        <f>41666.41+H33+H34+516.99+28892.15</f>
        <v>199559.97999999998</v>
      </c>
      <c r="I32" s="15">
        <f>18569.33+I33+I34+13906.1+116.85</f>
        <v>91638.12000000001</v>
      </c>
    </row>
    <row r="33" spans="1:9">
      <c r="A33" s="22" t="s">
        <v>14</v>
      </c>
      <c r="B33" s="23"/>
      <c r="C33" s="23"/>
      <c r="D33" s="23"/>
      <c r="E33" s="23"/>
      <c r="F33" s="24"/>
      <c r="G33" s="15">
        <v>113510.23</v>
      </c>
      <c r="H33" s="15">
        <v>87517.28</v>
      </c>
      <c r="I33" s="15">
        <v>42458.83</v>
      </c>
    </row>
    <row r="34" spans="1:9">
      <c r="A34" s="22" t="s">
        <v>112</v>
      </c>
      <c r="B34" s="23"/>
      <c r="C34" s="23"/>
      <c r="D34" s="23"/>
      <c r="E34" s="23"/>
      <c r="F34" s="24"/>
      <c r="G34" s="15">
        <v>48301.98</v>
      </c>
      <c r="H34" s="15">
        <v>40967.15</v>
      </c>
      <c r="I34" s="15">
        <v>16587.009999999998</v>
      </c>
    </row>
    <row r="35" spans="1:9" ht="43.2">
      <c r="A35" s="11" t="s">
        <v>10</v>
      </c>
      <c r="B35" s="11" t="s">
        <v>11</v>
      </c>
      <c r="C35" s="12" t="s">
        <v>28</v>
      </c>
      <c r="D35" s="13">
        <v>41275</v>
      </c>
      <c r="E35" s="13">
        <v>41639</v>
      </c>
      <c r="F35" s="14" t="s">
        <v>13</v>
      </c>
      <c r="G35" s="15">
        <f>54991.8+G36+G37+363+37855.44</f>
        <v>287784.66000000003</v>
      </c>
      <c r="H35" s="15">
        <f>40292.08+H36+H37+376.52+30654.02</f>
        <v>214798.62999999998</v>
      </c>
      <c r="I35" s="15">
        <f>32900.09+I36+I37+96.57+20174.74</f>
        <v>161994.41</v>
      </c>
    </row>
    <row r="36" spans="1:9">
      <c r="A36" s="22" t="s">
        <v>14</v>
      </c>
      <c r="B36" s="23"/>
      <c r="C36" s="23"/>
      <c r="D36" s="23"/>
      <c r="E36" s="23"/>
      <c r="F36" s="24"/>
      <c r="G36" s="15">
        <v>122524.32</v>
      </c>
      <c r="H36" s="15">
        <v>97776.48</v>
      </c>
      <c r="I36" s="15">
        <v>73119.61</v>
      </c>
    </row>
    <row r="37" spans="1:9">
      <c r="A37" s="22" t="s">
        <v>112</v>
      </c>
      <c r="B37" s="23"/>
      <c r="C37" s="23"/>
      <c r="D37" s="23"/>
      <c r="E37" s="23"/>
      <c r="F37" s="24"/>
      <c r="G37" s="15">
        <v>72050.100000000006</v>
      </c>
      <c r="H37" s="15">
        <v>45699.53</v>
      </c>
      <c r="I37" s="15">
        <v>35703.4</v>
      </c>
    </row>
    <row r="38" spans="1:9" ht="43.2">
      <c r="A38" s="11" t="s">
        <v>10</v>
      </c>
      <c r="B38" s="11" t="s">
        <v>11</v>
      </c>
      <c r="C38" s="12" t="s">
        <v>29</v>
      </c>
      <c r="D38" s="13">
        <v>41275</v>
      </c>
      <c r="E38" s="13">
        <v>41639</v>
      </c>
      <c r="F38" s="14" t="s">
        <v>13</v>
      </c>
      <c r="G38" s="15">
        <f>55066.86+G39+G40+357.02+37906.92</f>
        <v>288170.48</v>
      </c>
      <c r="H38" s="15">
        <f>47507.65+H39+H40+469.52+34746.4</f>
        <v>242614.13</v>
      </c>
      <c r="I38" s="15">
        <f>15835.19+I39+I40+90+8539.81</f>
        <v>113480.13999999998</v>
      </c>
    </row>
    <row r="39" spans="1:9">
      <c r="A39" s="22" t="s">
        <v>112</v>
      </c>
      <c r="B39" s="23"/>
      <c r="C39" s="23"/>
      <c r="D39" s="23"/>
      <c r="E39" s="23"/>
      <c r="F39" s="24"/>
      <c r="G39" s="15">
        <v>72148.320000000007</v>
      </c>
      <c r="H39" s="15">
        <v>57688.83</v>
      </c>
      <c r="I39" s="15">
        <v>16066.55</v>
      </c>
    </row>
    <row r="40" spans="1:9">
      <c r="A40" s="22" t="s">
        <v>14</v>
      </c>
      <c r="B40" s="23"/>
      <c r="C40" s="23"/>
      <c r="D40" s="23"/>
      <c r="E40" s="23"/>
      <c r="F40" s="24"/>
      <c r="G40" s="15">
        <v>122691.36</v>
      </c>
      <c r="H40" s="15">
        <v>102201.73</v>
      </c>
      <c r="I40" s="15">
        <v>72948.59</v>
      </c>
    </row>
    <row r="41" spans="1:9" ht="43.2">
      <c r="A41" s="11" t="s">
        <v>10</v>
      </c>
      <c r="B41" s="11" t="s">
        <v>11</v>
      </c>
      <c r="C41" s="12" t="s">
        <v>30</v>
      </c>
      <c r="D41" s="13">
        <v>41275</v>
      </c>
      <c r="E41" s="13">
        <v>41639</v>
      </c>
      <c r="F41" s="14" t="s">
        <v>13</v>
      </c>
      <c r="G41" s="15">
        <f>49573.92+G42+378+34125.96</f>
        <v>194530.8</v>
      </c>
      <c r="H41" s="15">
        <f>34044.46+H42+264+23536.83</f>
        <v>134973.18</v>
      </c>
      <c r="I41" s="15">
        <f>41627.99+I42+551.3+29219.7</f>
        <v>164069.81</v>
      </c>
    </row>
    <row r="42" spans="1:9">
      <c r="A42" s="22" t="s">
        <v>14</v>
      </c>
      <c r="B42" s="23"/>
      <c r="C42" s="23"/>
      <c r="D42" s="23"/>
      <c r="E42" s="23"/>
      <c r="F42" s="24"/>
      <c r="G42" s="15">
        <v>110452.92</v>
      </c>
      <c r="H42" s="15">
        <v>77127.89</v>
      </c>
      <c r="I42" s="15">
        <v>92670.82</v>
      </c>
    </row>
    <row r="43" spans="1:9" ht="43.2">
      <c r="A43" s="11" t="s">
        <v>10</v>
      </c>
      <c r="B43" s="11" t="s">
        <v>11</v>
      </c>
      <c r="C43" s="12" t="s">
        <v>31</v>
      </c>
      <c r="D43" s="13">
        <v>41275</v>
      </c>
      <c r="E43" s="13">
        <v>41639</v>
      </c>
      <c r="F43" s="14" t="s">
        <v>13</v>
      </c>
      <c r="G43" s="15">
        <f>21420.06+G44+G45+228.6+14744.76</f>
        <v>114185.16</v>
      </c>
      <c r="H43" s="15">
        <f>19692.52+H44+H45+276.74+13660.33</f>
        <v>101644.88</v>
      </c>
      <c r="I43" s="15">
        <f>9692.58+I44+I45+144.08+6972.38</f>
        <v>44327.420000000006</v>
      </c>
    </row>
    <row r="44" spans="1:9">
      <c r="A44" s="22" t="s">
        <v>112</v>
      </c>
      <c r="B44" s="23"/>
      <c r="C44" s="23"/>
      <c r="D44" s="23"/>
      <c r="E44" s="23"/>
      <c r="F44" s="24"/>
      <c r="G44" s="15">
        <v>30064.44</v>
      </c>
      <c r="H44" s="15">
        <v>24307.3</v>
      </c>
      <c r="I44" s="15">
        <v>5757.14</v>
      </c>
    </row>
    <row r="45" spans="1:9">
      <c r="A45" s="22" t="s">
        <v>14</v>
      </c>
      <c r="B45" s="23"/>
      <c r="C45" s="23"/>
      <c r="D45" s="23"/>
      <c r="E45" s="23"/>
      <c r="F45" s="24"/>
      <c r="G45" s="15">
        <v>47727.3</v>
      </c>
      <c r="H45" s="15">
        <v>43707.99</v>
      </c>
      <c r="I45" s="15">
        <v>21761.24</v>
      </c>
    </row>
    <row r="46" spans="1:9" ht="43.2">
      <c r="A46" s="11" t="s">
        <v>10</v>
      </c>
      <c r="B46" s="11" t="s">
        <v>11</v>
      </c>
      <c r="C46" s="12" t="s">
        <v>32</v>
      </c>
      <c r="D46" s="13">
        <v>41275</v>
      </c>
      <c r="E46" s="13">
        <v>41639</v>
      </c>
      <c r="F46" s="14" t="s">
        <v>13</v>
      </c>
      <c r="G46" s="15">
        <f>52183.26+G47+438+35922.12</f>
        <v>204810.3</v>
      </c>
      <c r="H46" s="15">
        <f>50685.07+H47+504.72+34378.22</f>
        <v>194850.5</v>
      </c>
      <c r="I46" s="15">
        <f>17618.58+I47+13363.78</f>
        <v>74591.45</v>
      </c>
    </row>
    <row r="47" spans="1:9">
      <c r="A47" s="22" t="s">
        <v>14</v>
      </c>
      <c r="B47" s="23"/>
      <c r="C47" s="23"/>
      <c r="D47" s="23"/>
      <c r="E47" s="23"/>
      <c r="F47" s="24"/>
      <c r="G47" s="15">
        <v>116266.92</v>
      </c>
      <c r="H47" s="15">
        <v>109282.49</v>
      </c>
      <c r="I47" s="15">
        <v>43609.09</v>
      </c>
    </row>
    <row r="48" spans="1:9" ht="43.2">
      <c r="A48" s="11" t="s">
        <v>10</v>
      </c>
      <c r="B48" s="11" t="s">
        <v>11</v>
      </c>
      <c r="C48" s="12" t="s">
        <v>33</v>
      </c>
      <c r="D48" s="13">
        <v>41275</v>
      </c>
      <c r="E48" s="13">
        <v>41639</v>
      </c>
      <c r="F48" s="14" t="s">
        <v>13</v>
      </c>
      <c r="G48" s="15">
        <f>48801.24+G49+354+33594.03</f>
        <v>191480.69999999998</v>
      </c>
      <c r="H48" s="15">
        <f>45542.4+H49+361.05+31932.31</f>
        <v>179115.18</v>
      </c>
      <c r="I48" s="15">
        <f>15467.68+I49+88.95+10717.16</f>
        <v>61066.020000000004</v>
      </c>
    </row>
    <row r="49" spans="1:9">
      <c r="A49" s="22" t="s">
        <v>14</v>
      </c>
      <c r="B49" s="23"/>
      <c r="C49" s="23"/>
      <c r="D49" s="23"/>
      <c r="E49" s="23"/>
      <c r="F49" s="24"/>
      <c r="G49" s="15">
        <v>108731.43</v>
      </c>
      <c r="H49" s="15">
        <v>101279.42</v>
      </c>
      <c r="I49" s="15">
        <v>34792.230000000003</v>
      </c>
    </row>
    <row r="50" spans="1:9" ht="43.2">
      <c r="A50" s="11" t="s">
        <v>10</v>
      </c>
      <c r="B50" s="11" t="s">
        <v>11</v>
      </c>
      <c r="C50" s="12" t="s">
        <v>34</v>
      </c>
      <c r="D50" s="13">
        <v>41275</v>
      </c>
      <c r="E50" s="13">
        <v>41639</v>
      </c>
      <c r="F50" s="14" t="s">
        <v>13</v>
      </c>
      <c r="G50" s="15">
        <f>52403.19+G51+425.4+36080.32</f>
        <v>205673.44999999998</v>
      </c>
      <c r="H50" s="15">
        <f>47927.91+H51+578.96+36033.13</f>
        <v>190434.87</v>
      </c>
      <c r="I50" s="15">
        <f>41855.09+I51+676.64+22856.65</f>
        <v>158975.07999999999</v>
      </c>
    </row>
    <row r="51" spans="1:9">
      <c r="A51" s="22" t="s">
        <v>14</v>
      </c>
      <c r="B51" s="23"/>
      <c r="C51" s="23"/>
      <c r="D51" s="23"/>
      <c r="E51" s="23"/>
      <c r="F51" s="24"/>
      <c r="G51" s="15">
        <v>116764.54</v>
      </c>
      <c r="H51" s="15">
        <v>105894.87</v>
      </c>
      <c r="I51" s="15">
        <v>93586.7</v>
      </c>
    </row>
    <row r="52" spans="1:9" ht="43.2">
      <c r="A52" s="11" t="s">
        <v>10</v>
      </c>
      <c r="B52" s="11" t="s">
        <v>11</v>
      </c>
      <c r="C52" s="12" t="s">
        <v>35</v>
      </c>
      <c r="D52" s="13">
        <v>41275</v>
      </c>
      <c r="E52" s="13">
        <v>41639</v>
      </c>
      <c r="F52" s="14" t="s">
        <v>13</v>
      </c>
      <c r="G52" s="15">
        <f>47367+G53+32606.7+549</f>
        <v>186026.7</v>
      </c>
      <c r="H52" s="15">
        <f>48803.33+830.29+33252.03</f>
        <v>82885.649999999994</v>
      </c>
      <c r="I52" s="15">
        <f>9403.64+I53+113.27+6679.9</f>
        <v>42246.33</v>
      </c>
    </row>
    <row r="53" spans="1:9">
      <c r="A53" s="22" t="s">
        <v>14</v>
      </c>
      <c r="B53" s="23"/>
      <c r="C53" s="23"/>
      <c r="D53" s="23"/>
      <c r="E53" s="23"/>
      <c r="F53" s="24"/>
      <c r="G53" s="15">
        <v>105504</v>
      </c>
      <c r="H53" s="15">
        <v>105622.3</v>
      </c>
      <c r="I53" s="15">
        <v>26049.52</v>
      </c>
    </row>
    <row r="54" spans="1:9" ht="43.2">
      <c r="A54" s="11" t="s">
        <v>10</v>
      </c>
      <c r="B54" s="11" t="s">
        <v>11</v>
      </c>
      <c r="C54" s="12" t="s">
        <v>36</v>
      </c>
      <c r="D54" s="13">
        <v>41275</v>
      </c>
      <c r="E54" s="13">
        <v>41639</v>
      </c>
      <c r="F54" s="14" t="s">
        <v>13</v>
      </c>
      <c r="G54" s="15">
        <f>50031.48+G55+391.5+34440.84</f>
        <v>196336.2</v>
      </c>
      <c r="H54" s="15">
        <f>54128.66+H55+655.5+36528.54</f>
        <v>210071.58000000002</v>
      </c>
      <c r="I54" s="15">
        <f>17231.71+I55+72+13631.97</f>
        <v>72673.98</v>
      </c>
    </row>
    <row r="55" spans="1:9">
      <c r="A55" s="22" t="s">
        <v>14</v>
      </c>
      <c r="B55" s="23"/>
      <c r="C55" s="23"/>
      <c r="D55" s="23"/>
      <c r="E55" s="23"/>
      <c r="F55" s="24"/>
      <c r="G55" s="15">
        <v>111472.38</v>
      </c>
      <c r="H55" s="15">
        <v>118758.88</v>
      </c>
      <c r="I55" s="15">
        <v>41738.300000000003</v>
      </c>
    </row>
    <row r="56" spans="1:9" ht="43.2">
      <c r="A56" s="11" t="s">
        <v>10</v>
      </c>
      <c r="B56" s="11" t="s">
        <v>11</v>
      </c>
      <c r="C56" s="12" t="s">
        <v>37</v>
      </c>
      <c r="D56" s="13">
        <v>41275</v>
      </c>
      <c r="E56" s="13">
        <v>41639</v>
      </c>
      <c r="F56" s="14" t="s">
        <v>13</v>
      </c>
      <c r="G56" s="15"/>
      <c r="H56" s="15"/>
      <c r="I56" s="15"/>
    </row>
    <row r="57" spans="1:9">
      <c r="A57" s="22"/>
      <c r="B57" s="23"/>
      <c r="C57" s="23"/>
      <c r="D57" s="23"/>
      <c r="E57" s="23"/>
      <c r="F57" s="24"/>
      <c r="G57" s="15"/>
      <c r="H57" s="15"/>
      <c r="I57" s="15"/>
    </row>
    <row r="58" spans="1:9" ht="43.2">
      <c r="A58" s="11" t="s">
        <v>10</v>
      </c>
      <c r="B58" s="11" t="s">
        <v>11</v>
      </c>
      <c r="C58" s="12" t="s">
        <v>38</v>
      </c>
      <c r="D58" s="13">
        <v>41275</v>
      </c>
      <c r="E58" s="13">
        <v>41639</v>
      </c>
      <c r="F58" s="14" t="s">
        <v>13</v>
      </c>
      <c r="G58" s="15"/>
      <c r="H58" s="15"/>
      <c r="I58" s="15"/>
    </row>
    <row r="59" spans="1:9">
      <c r="A59" s="22" t="s">
        <v>14</v>
      </c>
      <c r="B59" s="23"/>
      <c r="C59" s="23"/>
      <c r="D59" s="23"/>
      <c r="E59" s="23"/>
      <c r="F59" s="24"/>
      <c r="G59" s="15"/>
      <c r="H59" s="15"/>
      <c r="I59" s="15"/>
    </row>
    <row r="60" spans="1:9" ht="43.2">
      <c r="A60" s="11" t="s">
        <v>10</v>
      </c>
      <c r="B60" s="11" t="s">
        <v>11</v>
      </c>
      <c r="C60" s="12" t="s">
        <v>39</v>
      </c>
      <c r="D60" s="13">
        <v>41275</v>
      </c>
      <c r="E60" s="13">
        <v>41639</v>
      </c>
      <c r="F60" s="14" t="s">
        <v>13</v>
      </c>
      <c r="G60" s="15"/>
      <c r="H60" s="15"/>
      <c r="I60" s="15"/>
    </row>
    <row r="61" spans="1:9">
      <c r="A61" s="22" t="s">
        <v>14</v>
      </c>
      <c r="B61" s="23"/>
      <c r="C61" s="23"/>
      <c r="D61" s="23"/>
      <c r="E61" s="23"/>
      <c r="F61" s="24"/>
      <c r="G61" s="15"/>
      <c r="H61" s="15"/>
      <c r="I61" s="15"/>
    </row>
    <row r="62" spans="1:9" ht="43.2">
      <c r="A62" s="11" t="s">
        <v>10</v>
      </c>
      <c r="B62" s="11" t="s">
        <v>11</v>
      </c>
      <c r="C62" s="12" t="s">
        <v>40</v>
      </c>
      <c r="D62" s="13">
        <v>41275</v>
      </c>
      <c r="E62" s="13">
        <v>41639</v>
      </c>
      <c r="F62" s="14" t="s">
        <v>13</v>
      </c>
      <c r="G62" s="15">
        <f>36454.98+G63+G64+288+25095.12</f>
        <v>190825.08</v>
      </c>
      <c r="H62" s="15">
        <f>28626.05+H63+H64+354+20592.26</f>
        <v>149113.1</v>
      </c>
      <c r="I62" s="15">
        <f>22816.77+I63+I64+125.05+16112.63</f>
        <v>103585.24</v>
      </c>
    </row>
    <row r="63" spans="1:9">
      <c r="A63" s="22" t="s">
        <v>112</v>
      </c>
      <c r="B63" s="23"/>
      <c r="C63" s="23"/>
      <c r="D63" s="23"/>
      <c r="E63" s="23"/>
      <c r="F63" s="24"/>
      <c r="G63" s="15">
        <v>47763.42</v>
      </c>
      <c r="H63" s="15">
        <v>34393.03</v>
      </c>
      <c r="I63" s="15">
        <v>13370.39</v>
      </c>
    </row>
    <row r="64" spans="1:9">
      <c r="A64" s="22" t="s">
        <v>14</v>
      </c>
      <c r="B64" s="23"/>
      <c r="C64" s="23"/>
      <c r="D64" s="23"/>
      <c r="E64" s="23"/>
      <c r="F64" s="24"/>
      <c r="G64" s="15">
        <v>81223.56</v>
      </c>
      <c r="H64" s="15">
        <v>65147.76</v>
      </c>
      <c r="I64" s="15">
        <v>51160.4</v>
      </c>
    </row>
    <row r="65" spans="1:9" ht="43.2">
      <c r="A65" s="11" t="s">
        <v>10</v>
      </c>
      <c r="B65" s="11" t="s">
        <v>11</v>
      </c>
      <c r="C65" s="12" t="s">
        <v>41</v>
      </c>
      <c r="D65" s="13">
        <v>41275</v>
      </c>
      <c r="E65" s="13">
        <v>41639</v>
      </c>
      <c r="F65" s="14" t="s">
        <v>13</v>
      </c>
      <c r="G65" s="15">
        <f>39017.88+G66+G67+497.5+26859.18</f>
        <v>204429.21999999997</v>
      </c>
      <c r="H65" s="15">
        <f>41942.16+H66+H67+694.41+30781.63</f>
        <v>195035.21</v>
      </c>
      <c r="I65" s="15">
        <f>16718.35+I66+I67+307.96+10548.18</f>
        <v>89430.32</v>
      </c>
    </row>
    <row r="66" spans="1:9">
      <c r="A66" s="22" t="s">
        <v>112</v>
      </c>
      <c r="B66" s="23"/>
      <c r="C66" s="23"/>
      <c r="D66" s="23"/>
      <c r="E66" s="23"/>
      <c r="F66" s="24"/>
      <c r="G66" s="15">
        <v>51120.959999999999</v>
      </c>
      <c r="H66" s="15">
        <v>36677.65</v>
      </c>
      <c r="I66" s="15">
        <v>14443.31</v>
      </c>
    </row>
    <row r="67" spans="1:9">
      <c r="A67" s="22" t="s">
        <v>14</v>
      </c>
      <c r="B67" s="23"/>
      <c r="C67" s="23"/>
      <c r="D67" s="23"/>
      <c r="E67" s="23"/>
      <c r="F67" s="24"/>
      <c r="G67" s="15">
        <v>86933.7</v>
      </c>
      <c r="H67" s="15">
        <v>84939.36</v>
      </c>
      <c r="I67" s="15">
        <v>47412.52</v>
      </c>
    </row>
    <row r="68" spans="1:9" ht="43.2">
      <c r="A68" s="11" t="s">
        <v>10</v>
      </c>
      <c r="B68" s="11" t="s">
        <v>11</v>
      </c>
      <c r="C68" s="12" t="s">
        <v>42</v>
      </c>
      <c r="D68" s="13">
        <v>41275</v>
      </c>
      <c r="E68" s="13">
        <v>41639</v>
      </c>
      <c r="F68" s="14" t="s">
        <v>43</v>
      </c>
      <c r="G68" s="15">
        <f>83826.42+G69+G70+816+57695.42</f>
        <v>433720.8</v>
      </c>
      <c r="H68" s="15">
        <f>87728.29+H69+H70+1224.27+57806.48</f>
        <v>444654.32</v>
      </c>
      <c r="I68" s="15">
        <f>I69+60.71+107.51</f>
        <v>24443.629999999997</v>
      </c>
    </row>
    <row r="69" spans="1:9">
      <c r="A69" s="22" t="s">
        <v>112</v>
      </c>
      <c r="B69" s="23"/>
      <c r="C69" s="23"/>
      <c r="D69" s="23"/>
      <c r="E69" s="23"/>
      <c r="F69" s="24"/>
      <c r="G69" s="15">
        <v>104613.1</v>
      </c>
      <c r="H69" s="15">
        <v>98655.99</v>
      </c>
      <c r="I69" s="15">
        <v>24275.41</v>
      </c>
    </row>
    <row r="70" spans="1:9">
      <c r="A70" s="22" t="s">
        <v>14</v>
      </c>
      <c r="B70" s="23"/>
      <c r="C70" s="23"/>
      <c r="D70" s="23"/>
      <c r="E70" s="23"/>
      <c r="F70" s="24"/>
      <c r="G70" s="15">
        <v>186769.86</v>
      </c>
      <c r="H70" s="15">
        <v>199239.29</v>
      </c>
      <c r="I70" s="15">
        <v>-9218.41</v>
      </c>
    </row>
    <row r="71" spans="1:9" ht="43.2">
      <c r="A71" s="11" t="s">
        <v>10</v>
      </c>
      <c r="B71" s="11" t="s">
        <v>11</v>
      </c>
      <c r="C71" s="12" t="s">
        <v>44</v>
      </c>
      <c r="D71" s="13">
        <v>41275</v>
      </c>
      <c r="E71" s="13">
        <v>41639</v>
      </c>
      <c r="F71" s="14" t="s">
        <v>43</v>
      </c>
      <c r="G71" s="15">
        <f>54479.22+G72+G73+342+37502.7</f>
        <v>285084.66000000003</v>
      </c>
      <c r="H71" s="15">
        <f>26248.52+H72+H73+274.7+19126.06</f>
        <v>135305.98000000001</v>
      </c>
      <c r="I71" s="15">
        <f>66334.69+I72+I73+537+48284.42</f>
        <v>308481.43</v>
      </c>
    </row>
    <row r="72" spans="1:9">
      <c r="A72" s="22" t="s">
        <v>112</v>
      </c>
      <c r="B72" s="23"/>
      <c r="C72" s="23"/>
      <c r="D72" s="23"/>
      <c r="E72" s="23"/>
      <c r="F72" s="24"/>
      <c r="G72" s="15">
        <v>71378.58</v>
      </c>
      <c r="H72" s="15">
        <v>31410.16</v>
      </c>
      <c r="I72" s="15">
        <v>61725.760000000002</v>
      </c>
    </row>
    <row r="73" spans="1:9">
      <c r="A73" s="22" t="s">
        <v>14</v>
      </c>
      <c r="B73" s="23"/>
      <c r="C73" s="23"/>
      <c r="D73" s="23"/>
      <c r="E73" s="23"/>
      <c r="F73" s="24"/>
      <c r="G73" s="15">
        <v>121382.16</v>
      </c>
      <c r="H73" s="15">
        <v>58246.54</v>
      </c>
      <c r="I73" s="15">
        <v>131599.56</v>
      </c>
    </row>
    <row r="74" spans="1:9" ht="43.2">
      <c r="A74" s="11" t="s">
        <v>10</v>
      </c>
      <c r="B74" s="11" t="s">
        <v>11</v>
      </c>
      <c r="C74" s="12" t="s">
        <v>45</v>
      </c>
      <c r="D74" s="13">
        <v>41275</v>
      </c>
      <c r="E74" s="13">
        <v>41639</v>
      </c>
      <c r="F74" s="14" t="s">
        <v>43</v>
      </c>
      <c r="G74" s="15">
        <f>364973.34+G75</f>
        <v>499133.73000000004</v>
      </c>
      <c r="H74" s="15">
        <f>326679.84+H75+47.41+7391.81</f>
        <v>462782.33999999997</v>
      </c>
      <c r="I74" s="15">
        <f>155898.48+I75+150+17306.6</f>
        <v>249551.58000000002</v>
      </c>
    </row>
    <row r="75" spans="1:9">
      <c r="A75" s="22" t="s">
        <v>14</v>
      </c>
      <c r="B75" s="23"/>
      <c r="C75" s="23"/>
      <c r="D75" s="23"/>
      <c r="E75" s="23"/>
      <c r="F75" s="24"/>
      <c r="G75" s="15">
        <v>134160.39000000001</v>
      </c>
      <c r="H75" s="15">
        <v>128663.28</v>
      </c>
      <c r="I75" s="15">
        <v>76196.5</v>
      </c>
    </row>
    <row r="76" spans="1:9" ht="43.2">
      <c r="A76" s="11" t="s">
        <v>10</v>
      </c>
      <c r="B76" s="11" t="s">
        <v>11</v>
      </c>
      <c r="C76" s="12" t="s">
        <v>46</v>
      </c>
      <c r="D76" s="13">
        <v>41275</v>
      </c>
      <c r="E76" s="13">
        <v>41639</v>
      </c>
      <c r="F76" s="14" t="s">
        <v>43</v>
      </c>
      <c r="G76" s="15">
        <f>199582.56+G77</f>
        <v>263633.15999999997</v>
      </c>
      <c r="H76" s="15">
        <f>171436.83+H77+129.9</f>
        <v>227516.42999999996</v>
      </c>
      <c r="I76" s="15">
        <f>62002.37+I77+3540.4</f>
        <v>84884.989999999991</v>
      </c>
    </row>
    <row r="77" spans="1:9">
      <c r="A77" s="22" t="s">
        <v>14</v>
      </c>
      <c r="B77" s="23"/>
      <c r="C77" s="23"/>
      <c r="D77" s="23"/>
      <c r="E77" s="23"/>
      <c r="F77" s="24"/>
      <c r="G77" s="15">
        <v>64050.6</v>
      </c>
      <c r="H77" s="15">
        <v>55949.7</v>
      </c>
      <c r="I77" s="15">
        <v>19342.22</v>
      </c>
    </row>
    <row r="78" spans="1:9" ht="43.2">
      <c r="A78" s="11" t="s">
        <v>10</v>
      </c>
      <c r="B78" s="11" t="s">
        <v>11</v>
      </c>
      <c r="C78" s="12" t="s">
        <v>47</v>
      </c>
      <c r="D78" s="13">
        <v>41275</v>
      </c>
      <c r="E78" s="13">
        <v>41639</v>
      </c>
      <c r="F78" s="14" t="s">
        <v>43</v>
      </c>
      <c r="G78" s="15">
        <f>107077.32+G79</f>
        <v>141440.67000000001</v>
      </c>
      <c r="H78" s="15">
        <f>99722.77+H79+5.01+319.9+1069.43</f>
        <v>132806.45000000001</v>
      </c>
      <c r="I78" s="15">
        <f>46294.75+I79</f>
        <v>61444.520000000004</v>
      </c>
    </row>
    <row r="79" spans="1:9">
      <c r="A79" s="22" t="s">
        <v>14</v>
      </c>
      <c r="B79" s="23"/>
      <c r="C79" s="23"/>
      <c r="D79" s="23"/>
      <c r="E79" s="23"/>
      <c r="F79" s="24"/>
      <c r="G79" s="15">
        <v>34363.35</v>
      </c>
      <c r="H79" s="15">
        <v>31689.34</v>
      </c>
      <c r="I79" s="15">
        <v>15149.77</v>
      </c>
    </row>
    <row r="80" spans="1:9" ht="43.2">
      <c r="A80" s="11" t="s">
        <v>10</v>
      </c>
      <c r="B80" s="11" t="s">
        <v>11</v>
      </c>
      <c r="C80" s="12" t="s">
        <v>48</v>
      </c>
      <c r="D80" s="13">
        <v>41275</v>
      </c>
      <c r="E80" s="13">
        <v>41639</v>
      </c>
      <c r="F80" s="14" t="s">
        <v>43</v>
      </c>
      <c r="G80" s="15">
        <f>104179.8+G81+126.98</f>
        <v>137896.32000000001</v>
      </c>
      <c r="H80" s="15">
        <f>81658.86+H81+48+2211.5+562.08</f>
        <v>112694.96</v>
      </c>
      <c r="I80" s="15">
        <f>64008.47+33.49+502.07+788.75</f>
        <v>65332.78</v>
      </c>
    </row>
    <row r="81" spans="1:9">
      <c r="A81" s="22" t="s">
        <v>14</v>
      </c>
      <c r="B81" s="23"/>
      <c r="C81" s="23"/>
      <c r="D81" s="23"/>
      <c r="E81" s="23"/>
      <c r="F81" s="24"/>
      <c r="G81" s="15">
        <v>33589.54</v>
      </c>
      <c r="H81" s="15">
        <v>28214.52</v>
      </c>
      <c r="I81" s="15">
        <v>21505.64</v>
      </c>
    </row>
    <row r="82" spans="1:9" ht="43.2">
      <c r="A82" s="11" t="s">
        <v>10</v>
      </c>
      <c r="B82" s="11" t="s">
        <v>11</v>
      </c>
      <c r="C82" s="12" t="s">
        <v>49</v>
      </c>
      <c r="D82" s="13">
        <v>41275</v>
      </c>
      <c r="E82" s="13">
        <v>41639</v>
      </c>
      <c r="F82" s="14" t="s">
        <v>43</v>
      </c>
      <c r="G82" s="15">
        <f>240789.06+G83</f>
        <v>329302.26</v>
      </c>
      <c r="H82" s="15">
        <f>205799.21+78.01+0.7</f>
        <v>205877.92</v>
      </c>
      <c r="I82" s="15">
        <f>69482.9+62.26+811.19</f>
        <v>70356.349999999991</v>
      </c>
    </row>
    <row r="83" spans="1:9">
      <c r="A83" s="22" t="s">
        <v>14</v>
      </c>
      <c r="B83" s="23"/>
      <c r="C83" s="23"/>
      <c r="D83" s="23"/>
      <c r="E83" s="23"/>
      <c r="F83" s="24"/>
      <c r="G83" s="15">
        <v>88513.2</v>
      </c>
      <c r="H83" s="15">
        <v>74564.44</v>
      </c>
      <c r="I83" s="15">
        <v>25819.85</v>
      </c>
    </row>
    <row r="84" spans="1:9" ht="43.2">
      <c r="A84" s="11" t="s">
        <v>10</v>
      </c>
      <c r="B84" s="11" t="s">
        <v>11</v>
      </c>
      <c r="C84" s="12" t="s">
        <v>50</v>
      </c>
      <c r="D84" s="13">
        <v>41275</v>
      </c>
      <c r="E84" s="13">
        <v>41639</v>
      </c>
      <c r="F84" s="14" t="s">
        <v>43</v>
      </c>
      <c r="G84" s="15">
        <f>119556.24+G85</f>
        <v>163503.72</v>
      </c>
      <c r="H84" s="15">
        <f>97500.06+H85+7234.4+3.24</f>
        <v>149235.21</v>
      </c>
      <c r="I84" s="15">
        <f>70569.86+I85+2108.69</f>
        <v>90897.42</v>
      </c>
    </row>
    <row r="85" spans="1:9">
      <c r="A85" s="22" t="s">
        <v>14</v>
      </c>
      <c r="B85" s="23"/>
      <c r="C85" s="23"/>
      <c r="D85" s="23"/>
      <c r="E85" s="23"/>
      <c r="F85" s="24"/>
      <c r="G85" s="15">
        <v>43947.48</v>
      </c>
      <c r="H85" s="15">
        <v>44497.51</v>
      </c>
      <c r="I85" s="15">
        <v>18218.87</v>
      </c>
    </row>
    <row r="86" spans="1:9" ht="43.2">
      <c r="A86" s="11" t="s">
        <v>10</v>
      </c>
      <c r="B86" s="11" t="s">
        <v>11</v>
      </c>
      <c r="C86" s="12" t="s">
        <v>51</v>
      </c>
      <c r="D86" s="13">
        <v>41275</v>
      </c>
      <c r="E86" s="13">
        <v>41639</v>
      </c>
      <c r="F86" s="14" t="s">
        <v>43</v>
      </c>
      <c r="G86" s="15">
        <f>90569.02+G87</f>
        <v>123861.16</v>
      </c>
      <c r="H86" s="15">
        <f>61033.23+H87+7.27+464.81</f>
        <v>84333.08</v>
      </c>
      <c r="I86" s="15">
        <f>36703.91+I87+487.79+4531.71</f>
        <v>58225.98</v>
      </c>
    </row>
    <row r="87" spans="1:9">
      <c r="A87" s="22" t="s">
        <v>14</v>
      </c>
      <c r="B87" s="23"/>
      <c r="C87" s="23"/>
      <c r="D87" s="23"/>
      <c r="E87" s="23"/>
      <c r="F87" s="24"/>
      <c r="G87" s="15">
        <v>33292.14</v>
      </c>
      <c r="H87" s="15">
        <v>22827.77</v>
      </c>
      <c r="I87" s="15">
        <v>16502.57</v>
      </c>
    </row>
    <row r="88" spans="1:9" ht="43.2">
      <c r="A88" s="11" t="s">
        <v>10</v>
      </c>
      <c r="B88" s="11" t="s">
        <v>11</v>
      </c>
      <c r="C88" s="12" t="s">
        <v>52</v>
      </c>
      <c r="D88" s="13">
        <v>41275</v>
      </c>
      <c r="E88" s="13">
        <v>41639</v>
      </c>
      <c r="F88" s="14" t="s">
        <v>43</v>
      </c>
      <c r="G88" s="15">
        <f>47701.56+G89+32837.1+354</f>
        <v>187126.26</v>
      </c>
      <c r="H88" s="15">
        <f>37161.74+H89+391.79+25565.98</f>
        <v>144934.22</v>
      </c>
      <c r="I88" s="15">
        <f>25202.4+111.68+16673.92+I89</f>
        <v>95432.13</v>
      </c>
    </row>
    <row r="89" spans="1:9">
      <c r="A89" s="22" t="s">
        <v>14</v>
      </c>
      <c r="B89" s="23"/>
      <c r="C89" s="23"/>
      <c r="D89" s="23"/>
      <c r="E89" s="23"/>
      <c r="F89" s="24"/>
      <c r="G89" s="15">
        <v>106233.60000000001</v>
      </c>
      <c r="H89" s="15">
        <v>81814.710000000006</v>
      </c>
      <c r="I89" s="15">
        <v>53444.13</v>
      </c>
    </row>
    <row r="90" spans="1:9" ht="43.2">
      <c r="A90" s="11" t="s">
        <v>10</v>
      </c>
      <c r="B90" s="11" t="s">
        <v>11</v>
      </c>
      <c r="C90" s="12" t="s">
        <v>53</v>
      </c>
      <c r="D90" s="13">
        <v>41275</v>
      </c>
      <c r="E90" s="13">
        <v>41639</v>
      </c>
      <c r="F90" s="14" t="s">
        <v>43</v>
      </c>
      <c r="G90" s="15">
        <f>65048.04+G91+666+44778.18</f>
        <v>255422.28</v>
      </c>
      <c r="H90" s="15">
        <f>50042.12+H91+810.57+35459.18</f>
        <v>200092.39</v>
      </c>
      <c r="I90" s="15">
        <f>56834.7+I91+536.92+39837.38</f>
        <v>222117.15</v>
      </c>
    </row>
    <row r="91" spans="1:9">
      <c r="A91" s="22" t="s">
        <v>14</v>
      </c>
      <c r="B91" s="23"/>
      <c r="C91" s="23"/>
      <c r="D91" s="23"/>
      <c r="E91" s="23"/>
      <c r="F91" s="24"/>
      <c r="G91" s="15">
        <v>144930.06</v>
      </c>
      <c r="H91" s="15">
        <v>113780.52</v>
      </c>
      <c r="I91" s="15">
        <v>124908.15</v>
      </c>
    </row>
    <row r="92" spans="1:9" ht="43.2">
      <c r="A92" s="11" t="s">
        <v>10</v>
      </c>
      <c r="B92" s="11" t="s">
        <v>11</v>
      </c>
      <c r="C92" s="12" t="s">
        <v>54</v>
      </c>
      <c r="D92" s="13">
        <v>41275</v>
      </c>
      <c r="E92" s="13">
        <v>41639</v>
      </c>
      <c r="F92" s="14" t="s">
        <v>43</v>
      </c>
      <c r="G92" s="15">
        <f>65269.61+G93+G94+44918.45+798</f>
        <v>341927.88</v>
      </c>
      <c r="H92" s="15">
        <f>60134.89+H93+H94+41406.67+1275.1</f>
        <v>322369.30999999994</v>
      </c>
      <c r="I92" s="15">
        <f>27561.83+I93+I94+15457.36+162.79</f>
        <v>132348.80000000002</v>
      </c>
    </row>
    <row r="93" spans="1:9">
      <c r="A93" s="29" t="s">
        <v>112</v>
      </c>
      <c r="B93" s="30"/>
      <c r="C93" s="30"/>
      <c r="D93" s="30"/>
      <c r="E93" s="30"/>
      <c r="F93" s="31"/>
      <c r="G93" s="15">
        <v>85517.26</v>
      </c>
      <c r="H93" s="15">
        <v>83092.66</v>
      </c>
      <c r="I93" s="15">
        <v>28225.74</v>
      </c>
    </row>
    <row r="94" spans="1:9">
      <c r="A94" s="22" t="s">
        <v>14</v>
      </c>
      <c r="B94" s="23"/>
      <c r="C94" s="23"/>
      <c r="D94" s="23"/>
      <c r="E94" s="23"/>
      <c r="F94" s="24"/>
      <c r="G94" s="15">
        <v>145424.56</v>
      </c>
      <c r="H94" s="15">
        <v>136459.99</v>
      </c>
      <c r="I94" s="15">
        <v>60941.08</v>
      </c>
    </row>
    <row r="95" spans="1:9" ht="43.2">
      <c r="A95" s="11" t="s">
        <v>10</v>
      </c>
      <c r="B95" s="11" t="s">
        <v>11</v>
      </c>
      <c r="C95" s="12" t="s">
        <v>55</v>
      </c>
      <c r="D95" s="13">
        <v>41275</v>
      </c>
      <c r="E95" s="13">
        <v>41639</v>
      </c>
      <c r="F95" s="14" t="s">
        <v>43</v>
      </c>
      <c r="G95" s="15">
        <f>258389.58+G96</f>
        <v>353370.48</v>
      </c>
      <c r="H95" s="15">
        <f>226754.35+H96+4007.66+165.33</f>
        <v>317857.42</v>
      </c>
      <c r="I95" s="15">
        <f>100150.15+I96+46.4+8506.67</f>
        <v>158912.94</v>
      </c>
    </row>
    <row r="96" spans="1:9">
      <c r="A96" s="22" t="s">
        <v>14</v>
      </c>
      <c r="B96" s="23"/>
      <c r="C96" s="23"/>
      <c r="D96" s="23"/>
      <c r="E96" s="23"/>
      <c r="F96" s="24"/>
      <c r="G96" s="15">
        <v>94980.9</v>
      </c>
      <c r="H96" s="15">
        <v>86930.08</v>
      </c>
      <c r="I96" s="15">
        <v>50209.72</v>
      </c>
    </row>
    <row r="97" spans="1:9" ht="43.2">
      <c r="A97" s="11" t="s">
        <v>10</v>
      </c>
      <c r="B97" s="11" t="s">
        <v>11</v>
      </c>
      <c r="C97" s="12" t="s">
        <v>56</v>
      </c>
      <c r="D97" s="13">
        <v>41275</v>
      </c>
      <c r="E97" s="13">
        <v>41639</v>
      </c>
      <c r="F97" s="14" t="s">
        <v>43</v>
      </c>
      <c r="G97" s="15">
        <f>177153.56+G98</f>
        <v>242273.26</v>
      </c>
      <c r="H97" s="15">
        <f>141500.91+H98+27.78+1490.43</f>
        <v>195732.31999999998</v>
      </c>
      <c r="I97" s="15">
        <f>74320.01+I98+10424.9</f>
        <v>124431.53999999998</v>
      </c>
    </row>
    <row r="98" spans="1:9">
      <c r="A98" s="22" t="s">
        <v>14</v>
      </c>
      <c r="B98" s="23"/>
      <c r="C98" s="23"/>
      <c r="D98" s="23"/>
      <c r="E98" s="23"/>
      <c r="F98" s="24"/>
      <c r="G98" s="15">
        <v>65119.7</v>
      </c>
      <c r="H98" s="15">
        <v>52713.2</v>
      </c>
      <c r="I98" s="15">
        <v>39686.629999999997</v>
      </c>
    </row>
    <row r="99" spans="1:9" ht="43.2">
      <c r="A99" s="11" t="s">
        <v>10</v>
      </c>
      <c r="B99" s="11" t="s">
        <v>11</v>
      </c>
      <c r="C99" s="12" t="s">
        <v>57</v>
      </c>
      <c r="D99" s="13">
        <v>41275</v>
      </c>
      <c r="E99" s="13">
        <v>41639</v>
      </c>
      <c r="F99" s="14" t="s">
        <v>43</v>
      </c>
      <c r="G99" s="15">
        <f>50704.86+G100+G101+474+34904.7</f>
        <v>262570.8</v>
      </c>
      <c r="H99" s="15">
        <f>45667.87+H100+H101+859.65+31613.11</f>
        <v>234842.02000000002</v>
      </c>
      <c r="I99" s="15">
        <f>11654.29+I100+I101+7394.87</f>
        <v>61353.670000000006</v>
      </c>
    </row>
    <row r="100" spans="1:9">
      <c r="A100" s="29" t="s">
        <v>113</v>
      </c>
      <c r="B100" s="30"/>
      <c r="C100" s="30"/>
      <c r="D100" s="30"/>
      <c r="E100" s="30"/>
      <c r="F100" s="31"/>
      <c r="G100" s="15">
        <v>63514.26</v>
      </c>
      <c r="H100" s="15">
        <v>58110.61</v>
      </c>
      <c r="I100" s="15">
        <v>16853.38</v>
      </c>
    </row>
    <row r="101" spans="1:9">
      <c r="A101" s="22" t="s">
        <v>14</v>
      </c>
      <c r="B101" s="23"/>
      <c r="C101" s="23"/>
      <c r="D101" s="23"/>
      <c r="E101" s="23"/>
      <c r="F101" s="24"/>
      <c r="G101" s="15">
        <v>112972.98</v>
      </c>
      <c r="H101" s="15">
        <v>98590.78</v>
      </c>
      <c r="I101" s="15">
        <v>25451.13</v>
      </c>
    </row>
    <row r="102" spans="1:9" ht="43.2">
      <c r="A102" s="11" t="s">
        <v>10</v>
      </c>
      <c r="B102" s="11" t="s">
        <v>11</v>
      </c>
      <c r="C102" s="12" t="s">
        <v>58</v>
      </c>
      <c r="D102" s="13">
        <v>41275</v>
      </c>
      <c r="E102" s="13">
        <v>41639</v>
      </c>
      <c r="F102" s="14" t="s">
        <v>43</v>
      </c>
      <c r="G102" s="15">
        <f>33731.22+G103+G104+315+23220.18</f>
        <v>177199.14</v>
      </c>
      <c r="H102" s="15">
        <f>38161.54+H103+H104+419.5+26181.86</f>
        <v>188852.3</v>
      </c>
      <c r="I102" s="15">
        <f>2235.13+I103+I104+12.5+1810.08</f>
        <v>13446.56</v>
      </c>
    </row>
    <row r="103" spans="1:9">
      <c r="A103" s="29" t="s">
        <v>113</v>
      </c>
      <c r="B103" s="30"/>
      <c r="C103" s="30"/>
      <c r="D103" s="30"/>
      <c r="E103" s="30"/>
      <c r="F103" s="31"/>
      <c r="G103" s="15">
        <v>44776.5</v>
      </c>
      <c r="H103" s="15">
        <v>41064.32</v>
      </c>
      <c r="I103" s="15">
        <v>3712.18</v>
      </c>
    </row>
    <row r="104" spans="1:9">
      <c r="A104" s="22" t="s">
        <v>14</v>
      </c>
      <c r="B104" s="23"/>
      <c r="C104" s="23"/>
      <c r="D104" s="23"/>
      <c r="E104" s="23"/>
      <c r="F104" s="24"/>
      <c r="G104" s="15">
        <v>75156.240000000005</v>
      </c>
      <c r="H104" s="15">
        <v>83025.08</v>
      </c>
      <c r="I104" s="15">
        <v>5676.67</v>
      </c>
    </row>
    <row r="105" spans="1:9" ht="43.2">
      <c r="A105" s="11" t="s">
        <v>10</v>
      </c>
      <c r="B105" s="11" t="s">
        <v>11</v>
      </c>
      <c r="C105" s="12" t="s">
        <v>59</v>
      </c>
      <c r="D105" s="13">
        <v>41275</v>
      </c>
      <c r="E105" s="13">
        <v>41639</v>
      </c>
      <c r="F105" s="14" t="s">
        <v>43</v>
      </c>
      <c r="G105" s="15">
        <f>71808.72+G106+G107+49428.49+615</f>
        <v>375929.35</v>
      </c>
      <c r="H105" s="15">
        <f>58022.96+H106+H107+618.01+40349.57</f>
        <v>288276.10000000003</v>
      </c>
      <c r="I105" s="15">
        <f>35783.63+I106+I107+307.71+24454.98</f>
        <v>171648.19</v>
      </c>
    </row>
    <row r="106" spans="1:9">
      <c r="A106" s="29" t="s">
        <v>113</v>
      </c>
      <c r="B106" s="30"/>
      <c r="C106" s="30"/>
      <c r="D106" s="30"/>
      <c r="E106" s="30"/>
      <c r="F106" s="31"/>
      <c r="G106" s="15">
        <v>94083.89</v>
      </c>
      <c r="H106" s="15">
        <v>60744.18</v>
      </c>
      <c r="I106" s="15">
        <v>31083.07</v>
      </c>
    </row>
    <row r="107" spans="1:9">
      <c r="A107" s="22" t="s">
        <v>14</v>
      </c>
      <c r="B107" s="23"/>
      <c r="C107" s="23"/>
      <c r="D107" s="23"/>
      <c r="E107" s="23"/>
      <c r="F107" s="24"/>
      <c r="G107" s="15">
        <v>159993.25</v>
      </c>
      <c r="H107" s="15">
        <v>128541.38</v>
      </c>
      <c r="I107" s="15">
        <v>80018.8</v>
      </c>
    </row>
    <row r="108" spans="1:9" ht="43.2">
      <c r="A108" s="11" t="s">
        <v>10</v>
      </c>
      <c r="B108" s="11" t="s">
        <v>11</v>
      </c>
      <c r="C108" s="12" t="s">
        <v>60</v>
      </c>
      <c r="D108" s="13">
        <v>41275</v>
      </c>
      <c r="E108" s="13">
        <v>41639</v>
      </c>
      <c r="F108" s="14" t="s">
        <v>43</v>
      </c>
      <c r="G108" s="15">
        <f>66568.74+G109+G110+588.1+45824.94</f>
        <v>355674.61999999994</v>
      </c>
      <c r="H108" s="15">
        <f>56585.7+H109+H110+874.6+39691.83</f>
        <v>290098.25</v>
      </c>
      <c r="I108" s="15">
        <f>30293.16+I109+I110+327.24+20907.84</f>
        <v>139154.85</v>
      </c>
    </row>
    <row r="109" spans="1:9">
      <c r="A109" s="29" t="s">
        <v>113</v>
      </c>
      <c r="B109" s="30"/>
      <c r="C109" s="30"/>
      <c r="D109" s="30"/>
      <c r="E109" s="30"/>
      <c r="F109" s="31"/>
      <c r="G109" s="15">
        <v>94366.68</v>
      </c>
      <c r="H109" s="15">
        <v>64319.09</v>
      </c>
      <c r="I109" s="15">
        <v>30047.59</v>
      </c>
    </row>
    <row r="110" spans="1:9">
      <c r="A110" s="22" t="s">
        <v>14</v>
      </c>
      <c r="B110" s="23"/>
      <c r="C110" s="23"/>
      <c r="D110" s="23"/>
      <c r="E110" s="23"/>
      <c r="F110" s="24"/>
      <c r="G110" s="15">
        <v>148326.16</v>
      </c>
      <c r="H110" s="15">
        <v>128627.03</v>
      </c>
      <c r="I110" s="15">
        <v>57579.02</v>
      </c>
    </row>
    <row r="111" spans="1:9" ht="43.2">
      <c r="A111" s="11" t="s">
        <v>10</v>
      </c>
      <c r="B111" s="11" t="s">
        <v>11</v>
      </c>
      <c r="C111" s="12" t="s">
        <v>61</v>
      </c>
      <c r="D111" s="13">
        <v>41275</v>
      </c>
      <c r="E111" s="13">
        <v>41639</v>
      </c>
      <c r="F111" s="14" t="s">
        <v>43</v>
      </c>
      <c r="G111" s="15">
        <f>243911.28+G112</f>
        <v>333570.42</v>
      </c>
      <c r="H111" s="15">
        <f>238458.29+H112+347.37+16006.3</f>
        <v>367332.44</v>
      </c>
      <c r="I111" s="15">
        <f>92273.02+I112+178.2+5536.36</f>
        <v>158548.73000000001</v>
      </c>
    </row>
    <row r="112" spans="1:9">
      <c r="A112" s="22" t="s">
        <v>14</v>
      </c>
      <c r="B112" s="23"/>
      <c r="C112" s="23"/>
      <c r="D112" s="23"/>
      <c r="E112" s="23"/>
      <c r="F112" s="24"/>
      <c r="G112" s="15">
        <v>89659.14</v>
      </c>
      <c r="H112" s="15">
        <v>112520.48</v>
      </c>
      <c r="I112" s="15">
        <v>60561.15</v>
      </c>
    </row>
    <row r="113" spans="1:9" ht="43.2">
      <c r="A113" s="11" t="s">
        <v>10</v>
      </c>
      <c r="B113" s="11" t="s">
        <v>11</v>
      </c>
      <c r="C113" s="12" t="s">
        <v>62</v>
      </c>
      <c r="D113" s="13">
        <v>41275</v>
      </c>
      <c r="E113" s="13">
        <v>41639</v>
      </c>
      <c r="F113" s="14" t="s">
        <v>43</v>
      </c>
      <c r="G113" s="15">
        <f>227599+G114+2608.5+9+685.26</f>
        <v>315528.96000000002</v>
      </c>
      <c r="H113" s="15">
        <f>206243.64+H114+28.57+2840.21+4961.86</f>
        <v>292655.60000000003</v>
      </c>
      <c r="I113" s="15">
        <f>73066.68+I114+2766.55</f>
        <v>114422.68</v>
      </c>
    </row>
    <row r="114" spans="1:9">
      <c r="A114" s="22" t="s">
        <v>14</v>
      </c>
      <c r="B114" s="23"/>
      <c r="C114" s="23"/>
      <c r="D114" s="23"/>
      <c r="E114" s="23"/>
      <c r="F114" s="24"/>
      <c r="G114" s="15">
        <v>84627.199999999997</v>
      </c>
      <c r="H114" s="15">
        <v>78581.320000000007</v>
      </c>
      <c r="I114" s="15">
        <v>38589.449999999997</v>
      </c>
    </row>
    <row r="115" spans="1:9" ht="43.2">
      <c r="A115" s="11" t="s">
        <v>10</v>
      </c>
      <c r="B115" s="11" t="s">
        <v>11</v>
      </c>
      <c r="C115" s="12" t="s">
        <v>63</v>
      </c>
      <c r="D115" s="13">
        <v>41275</v>
      </c>
      <c r="E115" s="13">
        <v>41639</v>
      </c>
      <c r="F115" s="14" t="s">
        <v>43</v>
      </c>
      <c r="G115" s="15">
        <f>378665.97+G116</f>
        <v>517859.69999999995</v>
      </c>
      <c r="H115" s="15">
        <f>316842.43+H116+134.87+4411.86</f>
        <v>442964.3</v>
      </c>
      <c r="I115" s="15">
        <f>102119.76+I116+33+3204.38</f>
        <v>159219.63</v>
      </c>
    </row>
    <row r="116" spans="1:9">
      <c r="A116" s="22" t="s">
        <v>14</v>
      </c>
      <c r="B116" s="23"/>
      <c r="C116" s="23"/>
      <c r="D116" s="23"/>
      <c r="E116" s="23"/>
      <c r="F116" s="24"/>
      <c r="G116" s="15">
        <v>139193.73000000001</v>
      </c>
      <c r="H116" s="15">
        <v>121575.14</v>
      </c>
      <c r="I116" s="15">
        <v>53862.49</v>
      </c>
    </row>
    <row r="117" spans="1:9" ht="43.2">
      <c r="A117" s="11" t="s">
        <v>10</v>
      </c>
      <c r="B117" s="11" t="s">
        <v>11</v>
      </c>
      <c r="C117" s="12" t="s">
        <v>64</v>
      </c>
      <c r="D117" s="13">
        <v>41275</v>
      </c>
      <c r="E117" s="13">
        <v>41639</v>
      </c>
      <c r="F117" s="14" t="s">
        <v>43</v>
      </c>
      <c r="G117" s="15">
        <f>183958.98+G118</f>
        <v>251580.48</v>
      </c>
      <c r="H117" s="15">
        <f>152387.59+H118+245.65+7777.4</f>
        <v>221185.06999999998</v>
      </c>
      <c r="I117" s="15">
        <f>52687.4+I118+7169.61</f>
        <v>102112.3</v>
      </c>
    </row>
    <row r="118" spans="1:9">
      <c r="A118" s="22" t="s">
        <v>14</v>
      </c>
      <c r="B118" s="23"/>
      <c r="C118" s="23"/>
      <c r="D118" s="23"/>
      <c r="E118" s="23"/>
      <c r="F118" s="24"/>
      <c r="G118" s="15">
        <v>67621.5</v>
      </c>
      <c r="H118" s="15">
        <v>60774.43</v>
      </c>
      <c r="I118" s="15">
        <v>42255.29</v>
      </c>
    </row>
    <row r="119" spans="1:9" ht="43.2">
      <c r="A119" s="11" t="s">
        <v>10</v>
      </c>
      <c r="B119" s="11" t="s">
        <v>11</v>
      </c>
      <c r="C119" s="12" t="s">
        <v>65</v>
      </c>
      <c r="D119" s="13">
        <v>41275</v>
      </c>
      <c r="E119" s="13">
        <v>41639</v>
      </c>
      <c r="F119" s="14" t="s">
        <v>43</v>
      </c>
      <c r="G119" s="17">
        <f>83242.56+G120</f>
        <v>113841.66</v>
      </c>
      <c r="H119" s="17">
        <f>66926.79+H120+7.26+103.37</f>
        <v>91267.479999999981</v>
      </c>
      <c r="I119" s="17">
        <f>25681.7+I120</f>
        <v>35166.550000000003</v>
      </c>
    </row>
    <row r="120" spans="1:9">
      <c r="A120" s="22" t="s">
        <v>14</v>
      </c>
      <c r="B120" s="23"/>
      <c r="C120" s="23"/>
      <c r="D120" s="23"/>
      <c r="E120" s="23"/>
      <c r="F120" s="24"/>
      <c r="G120" s="17">
        <v>30599.1</v>
      </c>
      <c r="H120" s="17">
        <v>24230.06</v>
      </c>
      <c r="I120" s="17">
        <v>9484.85</v>
      </c>
    </row>
    <row r="121" spans="1:9" ht="43.2">
      <c r="A121" s="11" t="s">
        <v>10</v>
      </c>
      <c r="B121" s="11" t="s">
        <v>11</v>
      </c>
      <c r="C121" s="12" t="s">
        <v>66</v>
      </c>
      <c r="D121" s="13">
        <v>41275</v>
      </c>
      <c r="E121" s="13">
        <v>41639</v>
      </c>
      <c r="F121" s="14" t="s">
        <v>13</v>
      </c>
      <c r="G121" s="17">
        <f>105104.28+G122</f>
        <v>143740.14000000001</v>
      </c>
      <c r="H121" s="17">
        <f>72345.38+H122+74.32+1241.05</f>
        <v>102669.62000000001</v>
      </c>
      <c r="I121" s="17">
        <f>60522.63+I122</f>
        <v>87069.959999999992</v>
      </c>
    </row>
    <row r="122" spans="1:9">
      <c r="A122" s="22" t="s">
        <v>14</v>
      </c>
      <c r="B122" s="23"/>
      <c r="C122" s="23"/>
      <c r="D122" s="23"/>
      <c r="E122" s="23"/>
      <c r="F122" s="24"/>
      <c r="G122" s="17">
        <v>38635.86</v>
      </c>
      <c r="H122" s="17">
        <v>29008.87</v>
      </c>
      <c r="I122" s="17">
        <v>26547.33</v>
      </c>
    </row>
    <row r="123" spans="1:9" ht="43.2">
      <c r="A123" s="11" t="s">
        <v>10</v>
      </c>
      <c r="B123" s="11" t="s">
        <v>11</v>
      </c>
      <c r="C123" s="12" t="s">
        <v>67</v>
      </c>
      <c r="D123" s="13">
        <v>41275</v>
      </c>
      <c r="E123" s="13">
        <v>41639</v>
      </c>
      <c r="F123" s="14" t="s">
        <v>13</v>
      </c>
      <c r="G123" s="17">
        <f>183464.88+G124</f>
        <v>250944.28</v>
      </c>
      <c r="H123" s="17">
        <f>169007.81+H124+34.96+526.11</f>
        <v>232900.90999999997</v>
      </c>
      <c r="I123" s="17">
        <f>47661.27+I124+49.06+891.83</f>
        <v>67624.740000000005</v>
      </c>
    </row>
    <row r="124" spans="1:9">
      <c r="A124" s="22" t="s">
        <v>14</v>
      </c>
      <c r="B124" s="23"/>
      <c r="C124" s="23"/>
      <c r="D124" s="23"/>
      <c r="E124" s="23"/>
      <c r="F124" s="24"/>
      <c r="G124" s="17">
        <v>67479.399999999994</v>
      </c>
      <c r="H124" s="17">
        <v>63332.03</v>
      </c>
      <c r="I124" s="17">
        <v>19022.580000000002</v>
      </c>
    </row>
    <row r="125" spans="1:9" ht="43.2">
      <c r="A125" s="11" t="s">
        <v>10</v>
      </c>
      <c r="B125" s="11" t="s">
        <v>11</v>
      </c>
      <c r="C125" s="12" t="s">
        <v>68</v>
      </c>
      <c r="D125" s="13">
        <v>41275</v>
      </c>
      <c r="E125" s="13">
        <v>41639</v>
      </c>
      <c r="F125" s="14" t="s">
        <v>13</v>
      </c>
      <c r="G125" s="17">
        <f>180781.34+G126</f>
        <v>247234.91999999998</v>
      </c>
      <c r="H125" s="17">
        <f>153406.07+H126+158.64+4010.94</f>
        <v>218051.10000000003</v>
      </c>
      <c r="I125" s="17">
        <f>64563.31+I126+90.85+4855.85</f>
        <v>96736.510000000009</v>
      </c>
    </row>
    <row r="126" spans="1:9">
      <c r="A126" s="22" t="s">
        <v>14</v>
      </c>
      <c r="B126" s="23"/>
      <c r="C126" s="23"/>
      <c r="D126" s="23"/>
      <c r="E126" s="23"/>
      <c r="F126" s="24"/>
      <c r="G126" s="17">
        <v>66453.58</v>
      </c>
      <c r="H126" s="17">
        <v>60475.45</v>
      </c>
      <c r="I126" s="17">
        <v>27226.5</v>
      </c>
    </row>
    <row r="127" spans="1:9" ht="43.2">
      <c r="A127" s="11" t="s">
        <v>10</v>
      </c>
      <c r="B127" s="11" t="s">
        <v>11</v>
      </c>
      <c r="C127" s="12" t="s">
        <v>69</v>
      </c>
      <c r="D127" s="13">
        <v>41275</v>
      </c>
      <c r="E127" s="13">
        <v>41639</v>
      </c>
      <c r="F127" s="14" t="s">
        <v>13</v>
      </c>
      <c r="G127" s="17">
        <f>186310.18+G128</f>
        <v>254796.36</v>
      </c>
      <c r="H127" s="17">
        <f>171956.03+H128+43.04+1905.76</f>
        <v>238683.01</v>
      </c>
      <c r="I127" s="17">
        <f>48215.01+I128</f>
        <v>69217.010000000009</v>
      </c>
    </row>
    <row r="128" spans="1:9">
      <c r="A128" s="22" t="s">
        <v>14</v>
      </c>
      <c r="B128" s="23"/>
      <c r="C128" s="23"/>
      <c r="D128" s="23"/>
      <c r="E128" s="23"/>
      <c r="F128" s="24"/>
      <c r="G128" s="17">
        <v>68486.179999999993</v>
      </c>
      <c r="H128" s="17">
        <v>64778.18</v>
      </c>
      <c r="I128" s="17">
        <v>21002</v>
      </c>
    </row>
    <row r="129" spans="1:9" ht="43.2">
      <c r="A129" s="11" t="s">
        <v>10</v>
      </c>
      <c r="B129" s="11" t="s">
        <v>11</v>
      </c>
      <c r="C129" s="12" t="s">
        <v>70</v>
      </c>
      <c r="D129" s="13">
        <v>41275</v>
      </c>
      <c r="E129" s="13">
        <v>41639</v>
      </c>
      <c r="F129" s="14" t="s">
        <v>13</v>
      </c>
      <c r="G129" s="17">
        <f>191121.24+G130</f>
        <v>261375.57</v>
      </c>
      <c r="H129" s="17">
        <f>163543.89+H130+173.14+5627.06</f>
        <v>234372.81000000003</v>
      </c>
      <c r="I129" s="17">
        <f>73561.64+I130+41.67+5723.26</f>
        <v>115861.97</v>
      </c>
    </row>
    <row r="130" spans="1:9">
      <c r="A130" s="22" t="s">
        <v>14</v>
      </c>
      <c r="B130" s="23"/>
      <c r="C130" s="23"/>
      <c r="D130" s="23"/>
      <c r="E130" s="23"/>
      <c r="F130" s="24"/>
      <c r="G130" s="17">
        <v>70254.33</v>
      </c>
      <c r="H130" s="17">
        <v>65028.72</v>
      </c>
      <c r="I130" s="17">
        <v>36535.4</v>
      </c>
    </row>
    <row r="131" spans="1:9" ht="43.2">
      <c r="A131" s="11" t="s">
        <v>10</v>
      </c>
      <c r="B131" s="11" t="s">
        <v>11</v>
      </c>
      <c r="C131" s="12" t="s">
        <v>71</v>
      </c>
      <c r="D131" s="13">
        <v>41275</v>
      </c>
      <c r="E131" s="13">
        <v>41639</v>
      </c>
      <c r="F131" s="14" t="s">
        <v>43</v>
      </c>
      <c r="G131" s="17">
        <f>189437.21+G132</f>
        <v>259072.19</v>
      </c>
      <c r="H131" s="17">
        <f>174915.86+H132+26.4+2595.67</f>
        <v>245940.91999999998</v>
      </c>
      <c r="I131" s="17">
        <f>53829.78+I132+0.01+828.12</f>
        <v>77136.62999999999</v>
      </c>
    </row>
    <row r="132" spans="1:9">
      <c r="A132" s="22" t="s">
        <v>14</v>
      </c>
      <c r="B132" s="23"/>
      <c r="C132" s="23"/>
      <c r="D132" s="23"/>
      <c r="E132" s="23"/>
      <c r="F132" s="24"/>
      <c r="G132" s="17">
        <v>69634.98</v>
      </c>
      <c r="H132" s="17">
        <v>68402.990000000005</v>
      </c>
      <c r="I132" s="17">
        <v>22478.720000000001</v>
      </c>
    </row>
    <row r="133" spans="1:9" ht="43.2">
      <c r="A133" s="11" t="s">
        <v>10</v>
      </c>
      <c r="B133" s="11" t="s">
        <v>11</v>
      </c>
      <c r="C133" s="12" t="s">
        <v>72</v>
      </c>
      <c r="D133" s="13">
        <v>41275</v>
      </c>
      <c r="E133" s="13">
        <v>41639</v>
      </c>
      <c r="F133" s="14" t="s">
        <v>43</v>
      </c>
      <c r="G133" s="17">
        <f>95066.35+G134</f>
        <v>130011.99</v>
      </c>
      <c r="H133" s="17">
        <f>76509.44+H134+26.77+1182.3</f>
        <v>107260.93000000001</v>
      </c>
      <c r="I133" s="17">
        <f>45060.54+I134+9</f>
        <v>45100.14</v>
      </c>
    </row>
    <row r="134" spans="1:9">
      <c r="A134" s="22" t="s">
        <v>14</v>
      </c>
      <c r="B134" s="23"/>
      <c r="C134" s="23"/>
      <c r="D134" s="23"/>
      <c r="E134" s="23"/>
      <c r="F134" s="24"/>
      <c r="G134" s="17">
        <v>34945.64</v>
      </c>
      <c r="H134" s="17">
        <v>29542.42</v>
      </c>
      <c r="I134" s="17">
        <v>30.6</v>
      </c>
    </row>
    <row r="135" spans="1:9" ht="43.2">
      <c r="A135" s="11" t="s">
        <v>10</v>
      </c>
      <c r="B135" s="11" t="s">
        <v>11</v>
      </c>
      <c r="C135" s="12" t="s">
        <v>73</v>
      </c>
      <c r="D135" s="13">
        <v>41275</v>
      </c>
      <c r="E135" s="13">
        <v>41639</v>
      </c>
      <c r="F135" s="14" t="s">
        <v>43</v>
      </c>
      <c r="G135" s="17">
        <v>193402.98</v>
      </c>
      <c r="H135" s="17">
        <f>155620.94+178.78+1807.44</f>
        <v>157607.16</v>
      </c>
      <c r="I135" s="17">
        <f>71427.86+I136+14.92+4082.45</f>
        <v>108753.85</v>
      </c>
    </row>
    <row r="136" spans="1:9">
      <c r="A136" s="22" t="s">
        <v>14</v>
      </c>
      <c r="B136" s="23"/>
      <c r="C136" s="23"/>
      <c r="D136" s="23"/>
      <c r="E136" s="23"/>
      <c r="F136" s="24"/>
      <c r="G136" s="17">
        <v>71093.759999999995</v>
      </c>
      <c r="H136" s="17">
        <v>57934.31</v>
      </c>
      <c r="I136" s="17">
        <v>33228.620000000003</v>
      </c>
    </row>
    <row r="137" spans="1:9" ht="43.2">
      <c r="A137" s="11" t="s">
        <v>10</v>
      </c>
      <c r="B137" s="11" t="s">
        <v>11</v>
      </c>
      <c r="C137" s="12" t="s">
        <v>74</v>
      </c>
      <c r="D137" s="13">
        <v>41275</v>
      </c>
      <c r="E137" s="13">
        <v>41639</v>
      </c>
      <c r="F137" s="14" t="s">
        <v>43</v>
      </c>
      <c r="G137" s="17">
        <f>190394.94+G138</f>
        <v>260382.72</v>
      </c>
      <c r="H137" s="17">
        <f>168822.09+H138+142.67+5130.85</f>
        <v>241586.96000000002</v>
      </c>
      <c r="I137" s="17">
        <f>74602.85+I138+38.13+2626</f>
        <v>110164.35</v>
      </c>
    </row>
    <row r="138" spans="1:9">
      <c r="A138" s="22" t="s">
        <v>14</v>
      </c>
      <c r="B138" s="23"/>
      <c r="C138" s="23"/>
      <c r="D138" s="23"/>
      <c r="E138" s="23"/>
      <c r="F138" s="24"/>
      <c r="G138" s="17">
        <v>69987.78</v>
      </c>
      <c r="H138" s="17">
        <v>67491.350000000006</v>
      </c>
      <c r="I138" s="17">
        <v>32897.370000000003</v>
      </c>
    </row>
    <row r="139" spans="1:9" ht="43.2">
      <c r="A139" s="11" t="s">
        <v>10</v>
      </c>
      <c r="B139" s="11" t="s">
        <v>11</v>
      </c>
      <c r="C139" s="12" t="s">
        <v>75</v>
      </c>
      <c r="D139" s="13">
        <v>41275</v>
      </c>
      <c r="E139" s="13">
        <v>41639</v>
      </c>
      <c r="F139" s="14" t="s">
        <v>43</v>
      </c>
      <c r="G139" s="17">
        <f>185470.54+G140</f>
        <v>253648.04</v>
      </c>
      <c r="H139" s="17">
        <f>161073.12+H140+68.92+2000.31</f>
        <v>224659.17</v>
      </c>
      <c r="I139" s="17">
        <f>47867.9+I140+1182.51</f>
        <v>67622.689999999988</v>
      </c>
    </row>
    <row r="140" spans="1:9">
      <c r="A140" s="22" t="s">
        <v>14</v>
      </c>
      <c r="B140" s="23"/>
      <c r="C140" s="23"/>
      <c r="D140" s="23"/>
      <c r="E140" s="23"/>
      <c r="F140" s="24"/>
      <c r="G140" s="17">
        <v>68177.5</v>
      </c>
      <c r="H140" s="17">
        <v>61516.82</v>
      </c>
      <c r="I140" s="17">
        <v>18572.28</v>
      </c>
    </row>
    <row r="141" spans="1:9" ht="43.2">
      <c r="A141" s="11" t="s">
        <v>10</v>
      </c>
      <c r="B141" s="11" t="s">
        <v>11</v>
      </c>
      <c r="C141" s="12" t="s">
        <v>76</v>
      </c>
      <c r="D141" s="13">
        <v>41275</v>
      </c>
      <c r="E141" s="13">
        <v>41639</v>
      </c>
      <c r="F141" s="14" t="s">
        <v>43</v>
      </c>
      <c r="G141" s="17">
        <f>188739.96+G142</f>
        <v>258118.72999999998</v>
      </c>
      <c r="H141" s="17">
        <f>176979.79+H142+45+1618.21</f>
        <v>244957.74000000002</v>
      </c>
      <c r="I141" s="17">
        <f>38603.99+I142+432.42</f>
        <v>55047.689999999995</v>
      </c>
    </row>
    <row r="142" spans="1:9">
      <c r="A142" s="22" t="s">
        <v>14</v>
      </c>
      <c r="B142" s="23"/>
      <c r="C142" s="23"/>
      <c r="D142" s="23"/>
      <c r="E142" s="23"/>
      <c r="F142" s="24"/>
      <c r="G142" s="17">
        <v>69378.77</v>
      </c>
      <c r="H142" s="17">
        <v>66314.740000000005</v>
      </c>
      <c r="I142" s="17">
        <v>16011.28</v>
      </c>
    </row>
    <row r="143" spans="1:9" ht="43.2">
      <c r="A143" s="11" t="s">
        <v>10</v>
      </c>
      <c r="B143" s="11" t="s">
        <v>77</v>
      </c>
      <c r="C143" s="12" t="s">
        <v>78</v>
      </c>
      <c r="D143" s="13">
        <v>41275</v>
      </c>
      <c r="E143" s="13">
        <v>41639</v>
      </c>
      <c r="F143" s="14" t="s">
        <v>13</v>
      </c>
      <c r="G143" s="17">
        <f>72075.12+G144</f>
        <v>91780.68</v>
      </c>
      <c r="H143" s="17">
        <f>59792.15+H144</f>
        <v>76098.040000000008</v>
      </c>
      <c r="I143" s="17">
        <f>29203.6+I144</f>
        <v>36280.85</v>
      </c>
    </row>
    <row r="144" spans="1:9">
      <c r="A144" s="22" t="s">
        <v>14</v>
      </c>
      <c r="B144" s="23"/>
      <c r="C144" s="23"/>
      <c r="D144" s="23"/>
      <c r="E144" s="23"/>
      <c r="F144" s="24"/>
      <c r="G144" s="17">
        <v>19705.560000000001</v>
      </c>
      <c r="H144" s="17">
        <v>16305.89</v>
      </c>
      <c r="I144" s="17">
        <v>7077.25</v>
      </c>
    </row>
    <row r="145" spans="1:9" ht="43.2">
      <c r="A145" s="11" t="s">
        <v>10</v>
      </c>
      <c r="B145" s="11" t="s">
        <v>77</v>
      </c>
      <c r="C145" s="12" t="s">
        <v>79</v>
      </c>
      <c r="D145" s="13">
        <v>41275</v>
      </c>
      <c r="E145" s="13">
        <v>41639</v>
      </c>
      <c r="F145" s="14" t="s">
        <v>13</v>
      </c>
      <c r="G145" s="17">
        <f>143398.32+G146</f>
        <v>182604.22</v>
      </c>
      <c r="H145" s="17">
        <f>116978.87+H146</f>
        <v>149472.57999999999</v>
      </c>
      <c r="I145" s="17">
        <f>71484.36+I146</f>
        <v>91768.760000000009</v>
      </c>
    </row>
    <row r="146" spans="1:9">
      <c r="A146" s="22" t="s">
        <v>14</v>
      </c>
      <c r="B146" s="23"/>
      <c r="C146" s="23"/>
      <c r="D146" s="23"/>
      <c r="E146" s="23"/>
      <c r="F146" s="24"/>
      <c r="G146" s="17">
        <v>39205.9</v>
      </c>
      <c r="H146" s="17">
        <v>32493.71</v>
      </c>
      <c r="I146" s="17">
        <v>20284.400000000001</v>
      </c>
    </row>
    <row r="147" spans="1:9" ht="43.2">
      <c r="A147" s="11" t="s">
        <v>10</v>
      </c>
      <c r="B147" s="11" t="s">
        <v>77</v>
      </c>
      <c r="C147" s="12" t="s">
        <v>80</v>
      </c>
      <c r="D147" s="13">
        <v>41275</v>
      </c>
      <c r="E147" s="13">
        <v>41639</v>
      </c>
      <c r="F147" s="14" t="s">
        <v>13</v>
      </c>
      <c r="G147" s="17">
        <f>73353.26+G148</f>
        <v>93408.28</v>
      </c>
      <c r="H147" s="17">
        <f>60383.39+H148</f>
        <v>76749.91</v>
      </c>
      <c r="I147" s="17">
        <f>38039.4+I148</f>
        <v>50061.98</v>
      </c>
    </row>
    <row r="148" spans="1:9">
      <c r="A148" s="22" t="s">
        <v>14</v>
      </c>
      <c r="B148" s="23"/>
      <c r="C148" s="23"/>
      <c r="D148" s="23"/>
      <c r="E148" s="23"/>
      <c r="F148" s="24"/>
      <c r="G148" s="17">
        <v>20055.02</v>
      </c>
      <c r="H148" s="17">
        <v>16366.52</v>
      </c>
      <c r="I148" s="17">
        <v>12022.58</v>
      </c>
    </row>
    <row r="149" spans="1:9" ht="43.2">
      <c r="A149" s="11" t="s">
        <v>10</v>
      </c>
      <c r="B149" s="11" t="s">
        <v>77</v>
      </c>
      <c r="C149" s="12" t="s">
        <v>81</v>
      </c>
      <c r="D149" s="13">
        <v>41275</v>
      </c>
      <c r="E149" s="13">
        <v>41639</v>
      </c>
      <c r="F149" s="14" t="s">
        <v>43</v>
      </c>
      <c r="G149" s="17">
        <f>73661.2+G150</f>
        <v>93801.16</v>
      </c>
      <c r="H149" s="17">
        <f>64014.57+H150</f>
        <v>81517.06</v>
      </c>
      <c r="I149" s="17">
        <f>32431.84+I150</f>
        <v>43149</v>
      </c>
    </row>
    <row r="150" spans="1:9">
      <c r="A150" s="22" t="s">
        <v>14</v>
      </c>
      <c r="B150" s="23"/>
      <c r="C150" s="23"/>
      <c r="D150" s="23"/>
      <c r="E150" s="23"/>
      <c r="F150" s="24"/>
      <c r="G150" s="17">
        <v>20139.96</v>
      </c>
      <c r="H150" s="17">
        <v>17502.490000000002</v>
      </c>
      <c r="I150" s="17">
        <v>10717.16</v>
      </c>
    </row>
    <row r="151" spans="1:9" ht="43.2">
      <c r="A151" s="11" t="s">
        <v>10</v>
      </c>
      <c r="B151" s="11" t="s">
        <v>77</v>
      </c>
      <c r="C151" s="12" t="s">
        <v>82</v>
      </c>
      <c r="D151" s="13">
        <v>41275</v>
      </c>
      <c r="E151" s="13">
        <v>41639</v>
      </c>
      <c r="F151" s="14" t="s">
        <v>13</v>
      </c>
      <c r="G151" s="17">
        <f>70090.2+G152</f>
        <v>89253.36</v>
      </c>
      <c r="H151" s="17">
        <f>47391.92+H152</f>
        <v>60389.58</v>
      </c>
      <c r="I151" s="17">
        <f>40397.12+I152</f>
        <v>47282.51</v>
      </c>
    </row>
    <row r="152" spans="1:9">
      <c r="A152" s="22" t="s">
        <v>14</v>
      </c>
      <c r="B152" s="23"/>
      <c r="C152" s="23"/>
      <c r="D152" s="23"/>
      <c r="E152" s="23"/>
      <c r="F152" s="24"/>
      <c r="G152" s="17">
        <v>19163.16</v>
      </c>
      <c r="H152" s="17">
        <v>12997.66</v>
      </c>
      <c r="I152" s="17">
        <v>6885.39</v>
      </c>
    </row>
    <row r="153" spans="1:9" ht="43.2">
      <c r="A153" s="11" t="s">
        <v>10</v>
      </c>
      <c r="B153" s="11" t="s">
        <v>77</v>
      </c>
      <c r="C153" s="12" t="s">
        <v>83</v>
      </c>
      <c r="D153" s="13">
        <v>41275</v>
      </c>
      <c r="E153" s="13">
        <v>41639</v>
      </c>
      <c r="F153" s="14" t="s">
        <v>13</v>
      </c>
      <c r="G153" s="17">
        <f>71669.63+G154</f>
        <v>91264.55</v>
      </c>
      <c r="H153" s="17">
        <f>63361.86+H154</f>
        <v>80685.39</v>
      </c>
      <c r="I153" s="17">
        <f>37508.51+I154</f>
        <v>45430.840000000004</v>
      </c>
    </row>
    <row r="154" spans="1:9">
      <c r="A154" s="22" t="s">
        <v>14</v>
      </c>
      <c r="B154" s="23"/>
      <c r="C154" s="23"/>
      <c r="D154" s="23"/>
      <c r="E154" s="23"/>
      <c r="F154" s="24"/>
      <c r="G154" s="17">
        <v>19594.919999999998</v>
      </c>
      <c r="H154" s="17">
        <v>17323.53</v>
      </c>
      <c r="I154" s="17">
        <v>7922.33</v>
      </c>
    </row>
    <row r="155" spans="1:9" ht="43.2">
      <c r="A155" s="11" t="s">
        <v>10</v>
      </c>
      <c r="B155" s="11" t="s">
        <v>77</v>
      </c>
      <c r="C155" s="12" t="s">
        <v>84</v>
      </c>
      <c r="D155" s="13">
        <v>41275</v>
      </c>
      <c r="E155" s="13">
        <v>41639</v>
      </c>
      <c r="F155" s="14" t="s">
        <v>13</v>
      </c>
      <c r="G155" s="17">
        <f>144563.88+G156</f>
        <v>184088.52000000002</v>
      </c>
      <c r="H155" s="17">
        <f>119590.73+H156</f>
        <v>152970.22999999998</v>
      </c>
      <c r="I155" s="17">
        <f>71937.59+I156</f>
        <v>91720.76999999999</v>
      </c>
    </row>
    <row r="156" spans="1:9">
      <c r="A156" s="22" t="s">
        <v>14</v>
      </c>
      <c r="B156" s="23"/>
      <c r="C156" s="23"/>
      <c r="D156" s="23"/>
      <c r="E156" s="23"/>
      <c r="F156" s="24"/>
      <c r="G156" s="17">
        <v>39524.639999999999</v>
      </c>
      <c r="H156" s="17">
        <v>33379.5</v>
      </c>
      <c r="I156" s="17">
        <v>19783.18</v>
      </c>
    </row>
    <row r="157" spans="1:9" ht="104.4" customHeight="1">
      <c r="A157" s="18" t="s">
        <v>85</v>
      </c>
      <c r="B157" s="18" t="s">
        <v>86</v>
      </c>
      <c r="C157" s="12" t="s">
        <v>87</v>
      </c>
      <c r="D157" s="13">
        <v>41275</v>
      </c>
      <c r="E157" s="13">
        <v>41639</v>
      </c>
      <c r="F157" s="14" t="s">
        <v>88</v>
      </c>
      <c r="G157" s="17">
        <f>692066.83+G158+G159</f>
        <v>984657.74</v>
      </c>
      <c r="H157" s="17">
        <f>609624.57+H158+H159</f>
        <v>891703</v>
      </c>
      <c r="I157" s="17">
        <f>497374.71+I158+I159</f>
        <v>741038.58000000007</v>
      </c>
    </row>
    <row r="158" spans="1:9">
      <c r="A158" s="22" t="s">
        <v>14</v>
      </c>
      <c r="B158" s="23"/>
      <c r="C158" s="23"/>
      <c r="D158" s="23"/>
      <c r="E158" s="23"/>
      <c r="F158" s="24"/>
      <c r="G158" s="17">
        <v>255720.68</v>
      </c>
      <c r="H158" s="17">
        <v>224341.44</v>
      </c>
      <c r="I158" s="17">
        <v>180753.87</v>
      </c>
    </row>
    <row r="159" spans="1:9">
      <c r="A159" s="22" t="s">
        <v>89</v>
      </c>
      <c r="B159" s="23"/>
      <c r="C159" s="23"/>
      <c r="D159" s="23"/>
      <c r="E159" s="23"/>
      <c r="F159" s="24"/>
      <c r="G159" s="17">
        <v>36870.230000000003</v>
      </c>
      <c r="H159" s="17">
        <v>57736.99</v>
      </c>
      <c r="I159" s="17">
        <v>62910</v>
      </c>
    </row>
    <row r="160" spans="1:9" ht="86.4">
      <c r="A160" s="18" t="s">
        <v>85</v>
      </c>
      <c r="B160" s="18" t="s">
        <v>90</v>
      </c>
      <c r="C160" s="12" t="s">
        <v>91</v>
      </c>
      <c r="D160" s="13">
        <v>41275</v>
      </c>
      <c r="E160" s="13">
        <v>41639</v>
      </c>
      <c r="F160" s="14" t="s">
        <v>88</v>
      </c>
      <c r="G160" s="17">
        <f>725059.36+G161+G162</f>
        <v>1064660.76</v>
      </c>
      <c r="H160" s="17">
        <f>600405.97+H161+H162+449.63</f>
        <v>883001.03999999992</v>
      </c>
      <c r="I160" s="17">
        <f>466694.3+I161+I162</f>
        <v>659688.18999999994</v>
      </c>
    </row>
    <row r="161" spans="1:9">
      <c r="A161" s="22" t="s">
        <v>14</v>
      </c>
      <c r="B161" s="23"/>
      <c r="C161" s="23"/>
      <c r="D161" s="23"/>
      <c r="E161" s="23"/>
      <c r="F161" s="24"/>
      <c r="G161" s="17">
        <v>264076.40000000002</v>
      </c>
      <c r="H161" s="17">
        <v>218483.11</v>
      </c>
      <c r="I161" s="17">
        <v>163192.88</v>
      </c>
    </row>
    <row r="162" spans="1:9">
      <c r="A162" s="22" t="s">
        <v>89</v>
      </c>
      <c r="B162" s="23"/>
      <c r="C162" s="23"/>
      <c r="D162" s="23"/>
      <c r="E162" s="23"/>
      <c r="F162" s="24"/>
      <c r="G162" s="17">
        <v>75525</v>
      </c>
      <c r="H162" s="17">
        <v>63662.33</v>
      </c>
      <c r="I162" s="17">
        <v>29801.01</v>
      </c>
    </row>
    <row r="163" spans="1:9" ht="86.4">
      <c r="A163" s="18" t="s">
        <v>85</v>
      </c>
      <c r="B163" s="18" t="s">
        <v>90</v>
      </c>
      <c r="C163" s="12" t="s">
        <v>87</v>
      </c>
      <c r="D163" s="13">
        <v>41275</v>
      </c>
      <c r="E163" s="13">
        <v>41639</v>
      </c>
      <c r="F163" s="14" t="s">
        <v>88</v>
      </c>
      <c r="G163" s="17">
        <f>733679.6+G164+G165</f>
        <v>1106740.55</v>
      </c>
      <c r="H163" s="17">
        <f>754511.31+H164+H165+65.62</f>
        <v>1129055.07</v>
      </c>
      <c r="I163" s="17">
        <f>373229.65+I164+I165+211.62</f>
        <v>549672.52</v>
      </c>
    </row>
    <row r="164" spans="1:9">
      <c r="A164" s="22" t="s">
        <v>14</v>
      </c>
      <c r="B164" s="23"/>
      <c r="C164" s="23"/>
      <c r="D164" s="23"/>
      <c r="E164" s="23"/>
      <c r="F164" s="24"/>
      <c r="G164" s="17">
        <v>270465.45</v>
      </c>
      <c r="H164" s="17">
        <v>277291.68</v>
      </c>
      <c r="I164" s="17">
        <v>134793.37</v>
      </c>
    </row>
    <row r="165" spans="1:9">
      <c r="A165" s="22" t="s">
        <v>89</v>
      </c>
      <c r="B165" s="23"/>
      <c r="C165" s="23"/>
      <c r="D165" s="23"/>
      <c r="E165" s="23"/>
      <c r="F165" s="24"/>
      <c r="G165" s="17">
        <v>102595.5</v>
      </c>
      <c r="H165" s="17">
        <v>97186.46</v>
      </c>
      <c r="I165" s="17">
        <v>41437.879999999997</v>
      </c>
    </row>
    <row r="166" spans="1:9" ht="86.4">
      <c r="A166" s="18" t="s">
        <v>85</v>
      </c>
      <c r="B166" s="18" t="s">
        <v>90</v>
      </c>
      <c r="C166" s="12" t="s">
        <v>92</v>
      </c>
      <c r="D166" s="13">
        <v>41275</v>
      </c>
      <c r="E166" s="13">
        <v>41639</v>
      </c>
      <c r="F166" s="14" t="s">
        <v>93</v>
      </c>
      <c r="G166" s="17">
        <f>484290.65+G167+G168</f>
        <v>731160.75</v>
      </c>
      <c r="H166" s="17">
        <f>529020.55+H167+H168+492.84</f>
        <v>791811.15</v>
      </c>
      <c r="I166" s="17">
        <f>283371.42+I167+I168+207.59</f>
        <v>434152.2</v>
      </c>
    </row>
    <row r="167" spans="1:9">
      <c r="A167" s="22" t="s">
        <v>14</v>
      </c>
      <c r="B167" s="23"/>
      <c r="C167" s="23"/>
      <c r="D167" s="23"/>
      <c r="E167" s="23"/>
      <c r="F167" s="24"/>
      <c r="G167" s="17">
        <v>178020.1</v>
      </c>
      <c r="H167" s="17">
        <v>193828.89</v>
      </c>
      <c r="I167" s="17">
        <v>101600.56</v>
      </c>
    </row>
    <row r="168" spans="1:9">
      <c r="A168" s="22" t="s">
        <v>89</v>
      </c>
      <c r="B168" s="23"/>
      <c r="C168" s="23"/>
      <c r="D168" s="23"/>
      <c r="E168" s="23"/>
      <c r="F168" s="24"/>
      <c r="G168" s="17">
        <v>68850</v>
      </c>
      <c r="H168" s="17">
        <v>68468.87</v>
      </c>
      <c r="I168" s="17">
        <v>48972.63</v>
      </c>
    </row>
    <row r="169" spans="1:9" ht="86.4">
      <c r="A169" s="18" t="s">
        <v>85</v>
      </c>
      <c r="B169" s="18" t="s">
        <v>90</v>
      </c>
      <c r="C169" s="12" t="s">
        <v>94</v>
      </c>
      <c r="D169" s="13">
        <v>41275</v>
      </c>
      <c r="E169" s="13">
        <v>41639</v>
      </c>
      <c r="F169" s="14" t="s">
        <v>88</v>
      </c>
      <c r="G169" s="17">
        <f>307718.09+G170+G171</f>
        <v>506692.03</v>
      </c>
      <c r="H169" s="17">
        <f>272499.89+H170+H171+118.77</f>
        <v>449471.00000000006</v>
      </c>
      <c r="I169" s="17">
        <f>162346.91+I170+I171+49.64</f>
        <v>263790.99</v>
      </c>
    </row>
    <row r="170" spans="1:9">
      <c r="A170" s="22" t="s">
        <v>14</v>
      </c>
      <c r="B170" s="23"/>
      <c r="C170" s="23"/>
      <c r="D170" s="23"/>
      <c r="E170" s="23"/>
      <c r="F170" s="24"/>
      <c r="G170" s="17">
        <v>113113.94</v>
      </c>
      <c r="H170" s="17">
        <v>100353.45</v>
      </c>
      <c r="I170" s="17">
        <v>58506.93</v>
      </c>
    </row>
    <row r="171" spans="1:9">
      <c r="A171" s="22" t="s">
        <v>89</v>
      </c>
      <c r="B171" s="23"/>
      <c r="C171" s="23"/>
      <c r="D171" s="23"/>
      <c r="E171" s="23"/>
      <c r="F171" s="24"/>
      <c r="G171" s="17">
        <v>85860</v>
      </c>
      <c r="H171" s="17">
        <v>76498.89</v>
      </c>
      <c r="I171" s="17">
        <v>42887.51</v>
      </c>
    </row>
    <row r="172" spans="1:9" ht="86.4">
      <c r="A172" s="18" t="s">
        <v>85</v>
      </c>
      <c r="B172" s="18" t="s">
        <v>90</v>
      </c>
      <c r="C172" s="12" t="s">
        <v>95</v>
      </c>
      <c r="D172" s="13">
        <v>41275</v>
      </c>
      <c r="E172" s="13">
        <v>41639</v>
      </c>
      <c r="F172" s="14" t="s">
        <v>88</v>
      </c>
      <c r="G172" s="17">
        <f>686451.46+G173+G174</f>
        <v>1122613.6399999999</v>
      </c>
      <c r="H172" s="17">
        <f>708322.03+H173+H174+270.65</f>
        <v>1150127.1099999999</v>
      </c>
      <c r="I172" s="17">
        <f>311726.79+I173+I174+174.66</f>
        <v>506843.25999999995</v>
      </c>
    </row>
    <row r="173" spans="1:9">
      <c r="A173" s="22" t="s">
        <v>14</v>
      </c>
      <c r="B173" s="23"/>
      <c r="C173" s="23"/>
      <c r="D173" s="23"/>
      <c r="E173" s="23"/>
      <c r="F173" s="24"/>
      <c r="G173" s="17">
        <v>252157.18</v>
      </c>
      <c r="H173" s="17">
        <v>255867.07</v>
      </c>
      <c r="I173" s="17">
        <v>116200.79</v>
      </c>
    </row>
    <row r="174" spans="1:9">
      <c r="A174" s="22" t="s">
        <v>89</v>
      </c>
      <c r="B174" s="23"/>
      <c r="C174" s="23"/>
      <c r="D174" s="23"/>
      <c r="E174" s="23"/>
      <c r="F174" s="24"/>
      <c r="G174" s="17">
        <v>184005</v>
      </c>
      <c r="H174" s="17">
        <v>185667.36</v>
      </c>
      <c r="I174" s="17">
        <v>78741.02</v>
      </c>
    </row>
    <row r="175" spans="1:9" ht="86.4">
      <c r="A175" s="18" t="s">
        <v>85</v>
      </c>
      <c r="B175" s="18" t="s">
        <v>90</v>
      </c>
      <c r="C175" s="12" t="s">
        <v>96</v>
      </c>
      <c r="D175" s="13">
        <v>41275</v>
      </c>
      <c r="E175" s="13">
        <v>41639</v>
      </c>
      <c r="F175" s="14" t="s">
        <v>88</v>
      </c>
      <c r="G175" s="17">
        <f>530399.53+194902.54+94860</f>
        <v>820162.07000000007</v>
      </c>
      <c r="H175" s="17">
        <f>461649.01+169504.04+83566.92</f>
        <v>714719.97000000009</v>
      </c>
      <c r="I175" s="17">
        <f>583815.53+232122.42+28724.96</f>
        <v>844662.91</v>
      </c>
    </row>
    <row r="176" spans="1:9">
      <c r="A176" s="22" t="s">
        <v>14</v>
      </c>
      <c r="B176" s="23"/>
      <c r="C176" s="23"/>
      <c r="D176" s="23"/>
      <c r="E176" s="23"/>
      <c r="F176" s="24"/>
      <c r="G176" s="17">
        <v>194902.54</v>
      </c>
      <c r="H176" s="17">
        <v>169504.04</v>
      </c>
      <c r="I176" s="17">
        <v>232122.42</v>
      </c>
    </row>
    <row r="177" spans="1:9">
      <c r="A177" s="22" t="s">
        <v>89</v>
      </c>
      <c r="B177" s="23"/>
      <c r="C177" s="23"/>
      <c r="D177" s="23"/>
      <c r="E177" s="23"/>
      <c r="F177" s="24"/>
      <c r="G177" s="17">
        <v>94860</v>
      </c>
      <c r="H177" s="17">
        <v>83566.92</v>
      </c>
      <c r="I177" s="17">
        <v>28724.959999999999</v>
      </c>
    </row>
    <row r="178" spans="1:9" ht="86.4">
      <c r="A178" s="18" t="s">
        <v>85</v>
      </c>
      <c r="B178" s="18" t="s">
        <v>90</v>
      </c>
      <c r="C178" s="12" t="s">
        <v>97</v>
      </c>
      <c r="D178" s="13">
        <v>41275</v>
      </c>
      <c r="E178" s="13">
        <v>41639</v>
      </c>
      <c r="F178" s="14" t="s">
        <v>88</v>
      </c>
      <c r="G178" s="17">
        <f>117180+559932.72+205824.23</f>
        <v>882936.95</v>
      </c>
      <c r="H178" s="17">
        <f>110275.74+514191.99+188990.51</f>
        <v>813458.24</v>
      </c>
      <c r="I178" s="17">
        <f>31278.53+387584.64+160421.23</f>
        <v>579284.4</v>
      </c>
    </row>
    <row r="179" spans="1:9">
      <c r="A179" s="22" t="s">
        <v>14</v>
      </c>
      <c r="B179" s="23"/>
      <c r="C179" s="23"/>
      <c r="D179" s="23"/>
      <c r="E179" s="23"/>
      <c r="F179" s="24"/>
      <c r="G179" s="17">
        <v>205824.23</v>
      </c>
      <c r="H179" s="17">
        <v>188990.51</v>
      </c>
      <c r="I179" s="17">
        <v>160421.23000000001</v>
      </c>
    </row>
    <row r="180" spans="1:9">
      <c r="A180" s="22" t="s">
        <v>89</v>
      </c>
      <c r="B180" s="23"/>
      <c r="C180" s="23"/>
      <c r="D180" s="23"/>
      <c r="E180" s="23"/>
      <c r="F180" s="24"/>
      <c r="G180" s="17">
        <v>117180</v>
      </c>
      <c r="H180" s="17">
        <v>110275.74</v>
      </c>
      <c r="I180" s="17">
        <v>31278.53</v>
      </c>
    </row>
    <row r="181" spans="1:9" ht="86.4">
      <c r="A181" s="18" t="s">
        <v>85</v>
      </c>
      <c r="B181" s="18" t="s">
        <v>90</v>
      </c>
      <c r="C181" s="12" t="s">
        <v>98</v>
      </c>
      <c r="D181" s="13">
        <v>41275</v>
      </c>
      <c r="E181" s="13">
        <v>41639</v>
      </c>
      <c r="F181" s="14" t="s">
        <v>88</v>
      </c>
      <c r="G181" s="17">
        <f>85185+309879.98+114191.21</f>
        <v>509256.19</v>
      </c>
      <c r="H181" s="17">
        <f>95765.18+351600.9+129413.65</f>
        <v>576779.73</v>
      </c>
      <c r="I181" s="17">
        <f>27903.69+92684.4+32497.52</f>
        <v>153085.60999999999</v>
      </c>
    </row>
    <row r="182" spans="1:9">
      <c r="A182" s="22" t="s">
        <v>14</v>
      </c>
      <c r="B182" s="23"/>
      <c r="C182" s="23"/>
      <c r="D182" s="23"/>
      <c r="E182" s="23"/>
      <c r="F182" s="24"/>
      <c r="G182" s="17">
        <v>114191.21</v>
      </c>
      <c r="H182" s="17">
        <v>129413.65</v>
      </c>
      <c r="I182" s="17">
        <v>32497.52</v>
      </c>
    </row>
    <row r="183" spans="1:9">
      <c r="A183" s="22" t="s">
        <v>89</v>
      </c>
      <c r="B183" s="23"/>
      <c r="C183" s="23"/>
      <c r="D183" s="23"/>
      <c r="E183" s="23"/>
      <c r="F183" s="24"/>
      <c r="G183" s="17">
        <v>85185</v>
      </c>
      <c r="H183" s="17">
        <v>95765.18</v>
      </c>
      <c r="I183" s="17">
        <v>27903.69</v>
      </c>
    </row>
    <row r="184" spans="1:9" ht="86.4">
      <c r="A184" s="18" t="s">
        <v>85</v>
      </c>
      <c r="B184" s="18" t="s">
        <v>90</v>
      </c>
      <c r="C184" s="12" t="s">
        <v>99</v>
      </c>
      <c r="D184" s="13">
        <v>41275</v>
      </c>
      <c r="E184" s="13">
        <v>41639</v>
      </c>
      <c r="F184" s="14" t="s">
        <v>88</v>
      </c>
      <c r="G184" s="17">
        <f>96700.5+528019.93+194447.69</f>
        <v>819168.12000000011</v>
      </c>
      <c r="H184" s="17">
        <f>90401.22+492538.48+178490.59</f>
        <v>761430.28999999992</v>
      </c>
      <c r="I184" s="17">
        <f>215575.34+540195.14+28376.99</f>
        <v>784147.47</v>
      </c>
    </row>
    <row r="185" spans="1:9">
      <c r="A185" s="22" t="s">
        <v>14</v>
      </c>
      <c r="B185" s="23"/>
      <c r="C185" s="23"/>
      <c r="D185" s="23"/>
      <c r="E185" s="23"/>
      <c r="F185" s="24"/>
      <c r="G185" s="17">
        <v>194447.69</v>
      </c>
      <c r="H185" s="17">
        <v>178490.59</v>
      </c>
      <c r="I185" s="17">
        <v>215575.34</v>
      </c>
    </row>
    <row r="186" spans="1:9">
      <c r="A186" s="22" t="s">
        <v>89</v>
      </c>
      <c r="B186" s="23"/>
      <c r="C186" s="23"/>
      <c r="D186" s="23"/>
      <c r="E186" s="23"/>
      <c r="F186" s="24"/>
      <c r="G186" s="17">
        <v>96700.5</v>
      </c>
      <c r="H186" s="17">
        <v>90401.22</v>
      </c>
      <c r="I186" s="17">
        <v>28376.99</v>
      </c>
    </row>
    <row r="187" spans="1:9" ht="86.4">
      <c r="A187" s="18" t="s">
        <v>85</v>
      </c>
      <c r="B187" s="18" t="s">
        <v>90</v>
      </c>
      <c r="C187" s="12" t="s">
        <v>100</v>
      </c>
      <c r="D187" s="13">
        <v>41275</v>
      </c>
      <c r="E187" s="13">
        <v>41639</v>
      </c>
      <c r="F187" s="14" t="s">
        <v>88</v>
      </c>
      <c r="G187" s="17">
        <f>85455+303008.58+111382.8</f>
        <v>499846.38</v>
      </c>
      <c r="H187" s="17">
        <f>308261.23+H188+H189</f>
        <v>514257.15</v>
      </c>
      <c r="I187" s="17">
        <f>28633.58+36158.44+97878.07</f>
        <v>162670.09000000003</v>
      </c>
    </row>
    <row r="188" spans="1:9">
      <c r="A188" s="22" t="s">
        <v>14</v>
      </c>
      <c r="B188" s="23"/>
      <c r="C188" s="23"/>
      <c r="D188" s="23"/>
      <c r="E188" s="23"/>
      <c r="F188" s="24"/>
      <c r="G188" s="17">
        <v>111382.8</v>
      </c>
      <c r="H188" s="17">
        <v>113503.14</v>
      </c>
      <c r="I188" s="17">
        <v>36158.44</v>
      </c>
    </row>
    <row r="189" spans="1:9">
      <c r="A189" s="22" t="s">
        <v>89</v>
      </c>
      <c r="B189" s="23"/>
      <c r="C189" s="23"/>
      <c r="D189" s="23"/>
      <c r="E189" s="23"/>
      <c r="F189" s="24"/>
      <c r="G189" s="17">
        <v>85455</v>
      </c>
      <c r="H189" s="17">
        <v>92492.78</v>
      </c>
      <c r="I189" s="17">
        <v>28633.58</v>
      </c>
    </row>
    <row r="190" spans="1:9" ht="86.4">
      <c r="A190" s="18" t="s">
        <v>85</v>
      </c>
      <c r="B190" s="18" t="s">
        <v>101</v>
      </c>
      <c r="C190" s="12" t="s">
        <v>102</v>
      </c>
      <c r="D190" s="13">
        <v>41275</v>
      </c>
      <c r="E190" s="13">
        <v>41639</v>
      </c>
      <c r="F190" s="14" t="s">
        <v>88</v>
      </c>
      <c r="G190" s="17">
        <f>954124.78+G191+G192</f>
        <v>1447727.79</v>
      </c>
      <c r="H190" s="17">
        <f>884570.45+H191+H192</f>
        <v>1338536.9100000001</v>
      </c>
      <c r="I190" s="17">
        <f>420248.3+I191+I192</f>
        <v>637053.75</v>
      </c>
    </row>
    <row r="191" spans="1:9">
      <c r="A191" s="22" t="s">
        <v>14</v>
      </c>
      <c r="B191" s="23"/>
      <c r="C191" s="23"/>
      <c r="D191" s="23"/>
      <c r="E191" s="23"/>
      <c r="F191" s="24"/>
      <c r="G191" s="17">
        <v>352933.01</v>
      </c>
      <c r="H191" s="17">
        <v>326778.59000000003</v>
      </c>
      <c r="I191" s="17">
        <v>156519.51999999999</v>
      </c>
    </row>
    <row r="192" spans="1:9">
      <c r="A192" s="22" t="s">
        <v>89</v>
      </c>
      <c r="B192" s="23"/>
      <c r="C192" s="23"/>
      <c r="D192" s="23"/>
      <c r="E192" s="23"/>
      <c r="F192" s="24"/>
      <c r="G192" s="17">
        <v>140670</v>
      </c>
      <c r="H192" s="17">
        <v>127187.87</v>
      </c>
      <c r="I192" s="17">
        <v>60285.93</v>
      </c>
    </row>
    <row r="193" spans="1:9" ht="86.4">
      <c r="A193" s="18" t="s">
        <v>85</v>
      </c>
      <c r="B193" s="18" t="s">
        <v>101</v>
      </c>
      <c r="C193" s="12" t="s">
        <v>103</v>
      </c>
      <c r="D193" s="13">
        <v>41275</v>
      </c>
      <c r="E193" s="13">
        <v>41639</v>
      </c>
      <c r="F193" s="14" t="s">
        <v>93</v>
      </c>
      <c r="G193" s="17">
        <f>710677.78+G194+G195</f>
        <v>1057773.07</v>
      </c>
      <c r="H193" s="17">
        <f>586235.33+H194+H195</f>
        <v>875533.2699999999</v>
      </c>
      <c r="I193" s="17">
        <f>505507.45+I194+I195</f>
        <v>735717.55</v>
      </c>
    </row>
    <row r="194" spans="1:9">
      <c r="A194" s="22" t="s">
        <v>14</v>
      </c>
      <c r="B194" s="23"/>
      <c r="C194" s="23"/>
      <c r="D194" s="23"/>
      <c r="E194" s="23"/>
      <c r="F194" s="24"/>
      <c r="G194" s="17">
        <v>261235.29</v>
      </c>
      <c r="H194" s="17">
        <v>215724.05</v>
      </c>
      <c r="I194" s="17">
        <v>193736.69</v>
      </c>
    </row>
    <row r="195" spans="1:9">
      <c r="A195" s="22" t="s">
        <v>89</v>
      </c>
      <c r="B195" s="23"/>
      <c r="C195" s="23"/>
      <c r="D195" s="23"/>
      <c r="E195" s="23"/>
      <c r="F195" s="24"/>
      <c r="G195" s="17">
        <v>85860</v>
      </c>
      <c r="H195" s="17">
        <v>73573.89</v>
      </c>
      <c r="I195" s="17">
        <v>36473.410000000003</v>
      </c>
    </row>
    <row r="196" spans="1:9" ht="86.4">
      <c r="A196" s="18" t="s">
        <v>85</v>
      </c>
      <c r="B196" s="18" t="s">
        <v>101</v>
      </c>
      <c r="C196" s="12" t="s">
        <v>94</v>
      </c>
      <c r="D196" s="13">
        <v>41275</v>
      </c>
      <c r="E196" s="13">
        <v>41639</v>
      </c>
      <c r="F196" s="14" t="s">
        <v>93</v>
      </c>
      <c r="G196" s="17">
        <f>476163.25+G197+G198</f>
        <v>713295.72</v>
      </c>
      <c r="H196" s="17">
        <f>430750.12+H197+H198</f>
        <v>644915.78</v>
      </c>
      <c r="I196" s="17">
        <f>237745.48+I197+I198</f>
        <v>501399.46</v>
      </c>
    </row>
    <row r="197" spans="1:9">
      <c r="A197" s="22" t="s">
        <v>14</v>
      </c>
      <c r="B197" s="23"/>
      <c r="C197" s="23"/>
      <c r="D197" s="23"/>
      <c r="E197" s="23"/>
      <c r="F197" s="24"/>
      <c r="G197" s="17">
        <v>175032.47</v>
      </c>
      <c r="H197" s="17">
        <v>158597.97</v>
      </c>
      <c r="I197" s="17">
        <v>237745.48</v>
      </c>
    </row>
    <row r="198" spans="1:9">
      <c r="A198" s="22" t="s">
        <v>89</v>
      </c>
      <c r="B198" s="23"/>
      <c r="C198" s="23"/>
      <c r="D198" s="23"/>
      <c r="E198" s="23"/>
      <c r="F198" s="24"/>
      <c r="G198" s="17">
        <v>62100</v>
      </c>
      <c r="H198" s="17">
        <v>55567.69</v>
      </c>
      <c r="I198" s="17">
        <v>25908.5</v>
      </c>
    </row>
    <row r="199" spans="1:9" ht="86.4">
      <c r="A199" s="18" t="s">
        <v>85</v>
      </c>
      <c r="B199" s="18" t="s">
        <v>101</v>
      </c>
      <c r="C199" s="12" t="s">
        <v>95</v>
      </c>
      <c r="D199" s="13">
        <v>41275</v>
      </c>
      <c r="E199" s="13">
        <v>41639</v>
      </c>
      <c r="F199" s="14" t="s">
        <v>93</v>
      </c>
      <c r="G199" s="17">
        <f>387502.09+G200+G201</f>
        <v>597970.85000000009</v>
      </c>
      <c r="H199" s="17">
        <f>339967.96+H200+H201</f>
        <v>525550.77</v>
      </c>
      <c r="I199" s="17">
        <f>352380.58+I200+I201</f>
        <v>497485.60000000003</v>
      </c>
    </row>
    <row r="200" spans="1:9">
      <c r="A200" s="22" t="s">
        <v>14</v>
      </c>
      <c r="B200" s="23"/>
      <c r="C200" s="23"/>
      <c r="D200" s="23"/>
      <c r="E200" s="23"/>
      <c r="F200" s="24"/>
      <c r="G200" s="17">
        <v>142442.26</v>
      </c>
      <c r="H200" s="17">
        <v>124756.64</v>
      </c>
      <c r="I200" s="17">
        <v>127197.71</v>
      </c>
    </row>
    <row r="201" spans="1:9">
      <c r="A201" s="22" t="s">
        <v>89</v>
      </c>
      <c r="B201" s="23"/>
      <c r="C201" s="23"/>
      <c r="D201" s="23"/>
      <c r="E201" s="23"/>
      <c r="F201" s="24"/>
      <c r="G201" s="17">
        <v>68026.5</v>
      </c>
      <c r="H201" s="17">
        <v>60826.17</v>
      </c>
      <c r="I201" s="17">
        <v>17907.310000000001</v>
      </c>
    </row>
    <row r="202" spans="1:9" ht="86.4">
      <c r="A202" s="11" t="s">
        <v>10</v>
      </c>
      <c r="B202" s="18" t="s">
        <v>104</v>
      </c>
      <c r="C202" s="12" t="s">
        <v>98</v>
      </c>
      <c r="D202" s="13">
        <v>41275</v>
      </c>
      <c r="E202" s="13">
        <v>41639</v>
      </c>
      <c r="F202" s="14" t="s">
        <v>93</v>
      </c>
      <c r="G202" s="17">
        <f>527967.22+G203+G204</f>
        <v>819468.21</v>
      </c>
      <c r="H202" s="17">
        <f>474657.95+H203+H204</f>
        <v>730912.94000000006</v>
      </c>
      <c r="I202" s="17">
        <f>439645.95+I203+I204</f>
        <v>606170.14</v>
      </c>
    </row>
    <row r="203" spans="1:9">
      <c r="A203" s="22" t="s">
        <v>14</v>
      </c>
      <c r="B203" s="23"/>
      <c r="C203" s="23"/>
      <c r="D203" s="23"/>
      <c r="E203" s="23"/>
      <c r="F203" s="24"/>
      <c r="G203" s="17">
        <v>194074.54</v>
      </c>
      <c r="H203" s="17">
        <v>168980.38</v>
      </c>
      <c r="I203" s="17">
        <v>145932.60999999999</v>
      </c>
    </row>
    <row r="204" spans="1:9">
      <c r="A204" s="22" t="s">
        <v>89</v>
      </c>
      <c r="B204" s="23"/>
      <c r="C204" s="23"/>
      <c r="D204" s="23"/>
      <c r="E204" s="23"/>
      <c r="F204" s="24"/>
      <c r="G204" s="17">
        <v>97426.45</v>
      </c>
      <c r="H204" s="17">
        <v>87274.61</v>
      </c>
      <c r="I204" s="17">
        <v>20591.580000000002</v>
      </c>
    </row>
    <row r="205" spans="1:9" ht="86.4">
      <c r="A205" s="18" t="s">
        <v>85</v>
      </c>
      <c r="B205" s="18" t="s">
        <v>101</v>
      </c>
      <c r="C205" s="12" t="s">
        <v>105</v>
      </c>
      <c r="D205" s="13">
        <v>41275</v>
      </c>
      <c r="E205" s="13">
        <v>41639</v>
      </c>
      <c r="F205" s="14" t="s">
        <v>93</v>
      </c>
      <c r="G205" s="17">
        <f>351237.47+G206+G207</f>
        <v>562886.53</v>
      </c>
      <c r="H205" s="17">
        <f>321308.14+H206+H207</f>
        <v>517416.07999999996</v>
      </c>
      <c r="I205" s="17">
        <f>323392.46+I206+I207</f>
        <v>477215.38</v>
      </c>
    </row>
    <row r="206" spans="1:9">
      <c r="A206" s="22" t="s">
        <v>14</v>
      </c>
      <c r="B206" s="23"/>
      <c r="C206" s="23"/>
      <c r="D206" s="23"/>
      <c r="E206" s="23"/>
      <c r="F206" s="24"/>
      <c r="G206" s="17">
        <v>129129.06</v>
      </c>
      <c r="H206" s="17">
        <v>117991.34</v>
      </c>
      <c r="I206" s="17">
        <v>108321.38</v>
      </c>
    </row>
    <row r="207" spans="1:9">
      <c r="A207" s="22" t="s">
        <v>89</v>
      </c>
      <c r="B207" s="23"/>
      <c r="C207" s="23"/>
      <c r="D207" s="23"/>
      <c r="E207" s="23"/>
      <c r="F207" s="24"/>
      <c r="G207" s="17">
        <v>82520</v>
      </c>
      <c r="H207" s="17">
        <v>78116.600000000006</v>
      </c>
      <c r="I207" s="17">
        <v>45501.54</v>
      </c>
    </row>
    <row r="208" spans="1:9" ht="86.4">
      <c r="A208" s="18" t="s">
        <v>85</v>
      </c>
      <c r="B208" s="18" t="s">
        <v>106</v>
      </c>
      <c r="C208" s="12" t="s">
        <v>107</v>
      </c>
      <c r="D208" s="13">
        <v>41275</v>
      </c>
      <c r="E208" s="13">
        <v>41639</v>
      </c>
      <c r="F208" s="14" t="s">
        <v>93</v>
      </c>
      <c r="G208" s="17">
        <f>597700.75+G209+G210</f>
        <v>941070.67999999993</v>
      </c>
      <c r="H208" s="17">
        <f>473318.44+H209+H210</f>
        <v>755532.73</v>
      </c>
      <c r="I208" s="17">
        <f>334136.49+I209+I210</f>
        <v>511927.52</v>
      </c>
    </row>
    <row r="209" spans="1:9">
      <c r="A209" s="22" t="s">
        <v>14</v>
      </c>
      <c r="B209" s="23"/>
      <c r="C209" s="23"/>
      <c r="D209" s="23"/>
      <c r="E209" s="23"/>
      <c r="F209" s="24"/>
      <c r="G209" s="17">
        <v>219709.93</v>
      </c>
      <c r="H209" s="17">
        <v>176078.04</v>
      </c>
      <c r="I209" s="17">
        <v>119921.08</v>
      </c>
    </row>
    <row r="210" spans="1:9">
      <c r="A210" s="22" t="s">
        <v>89</v>
      </c>
      <c r="B210" s="23"/>
      <c r="C210" s="23"/>
      <c r="D210" s="23"/>
      <c r="E210" s="23"/>
      <c r="F210" s="24"/>
      <c r="G210" s="17">
        <v>123660</v>
      </c>
      <c r="H210" s="17">
        <v>106136.25</v>
      </c>
      <c r="I210" s="17">
        <v>57869.95</v>
      </c>
    </row>
    <row r="211" spans="1:9" ht="86.4">
      <c r="A211" s="18" t="s">
        <v>85</v>
      </c>
      <c r="B211" s="18" t="s">
        <v>106</v>
      </c>
      <c r="C211" s="12" t="s">
        <v>91</v>
      </c>
      <c r="D211" s="13">
        <v>41275</v>
      </c>
      <c r="E211" s="13">
        <v>41639</v>
      </c>
      <c r="F211" s="14" t="s">
        <v>93</v>
      </c>
      <c r="G211" s="17">
        <f>301669.34+G212+G213</f>
        <v>496290.93000000005</v>
      </c>
      <c r="H211" s="17">
        <f>290020.77+H212+H213</f>
        <v>470660.21</v>
      </c>
      <c r="I211" s="17">
        <f>137304.53+I212+I213</f>
        <v>226924.06</v>
      </c>
    </row>
    <row r="212" spans="1:9">
      <c r="A212" s="22" t="s">
        <v>14</v>
      </c>
      <c r="B212" s="23"/>
      <c r="C212" s="23"/>
      <c r="D212" s="23"/>
      <c r="E212" s="23"/>
      <c r="F212" s="24"/>
      <c r="G212" s="17">
        <v>111131.59</v>
      </c>
      <c r="H212" s="17">
        <v>106096.75</v>
      </c>
      <c r="I212" s="17">
        <v>49697.82</v>
      </c>
    </row>
    <row r="213" spans="1:9">
      <c r="A213" s="22" t="s">
        <v>89</v>
      </c>
      <c r="B213" s="23"/>
      <c r="C213" s="23"/>
      <c r="D213" s="23"/>
      <c r="E213" s="23"/>
      <c r="F213" s="24"/>
      <c r="G213" s="17">
        <v>83490</v>
      </c>
      <c r="H213" s="17">
        <v>74542.69</v>
      </c>
      <c r="I213" s="17">
        <v>39921.71</v>
      </c>
    </row>
    <row r="214" spans="1:9" ht="86.4">
      <c r="A214" s="18" t="s">
        <v>85</v>
      </c>
      <c r="B214" s="18" t="s">
        <v>106</v>
      </c>
      <c r="C214" s="12" t="s">
        <v>87</v>
      </c>
      <c r="D214" s="13">
        <v>41275</v>
      </c>
      <c r="E214" s="13">
        <v>41639</v>
      </c>
      <c r="F214" s="14" t="s">
        <v>93</v>
      </c>
      <c r="G214" s="17">
        <f>375907.44+G215+G216</f>
        <v>618307.35</v>
      </c>
      <c r="H214" s="17">
        <f>200925.25+H215+H216+2.89</f>
        <v>338372.09</v>
      </c>
      <c r="I214" s="17">
        <f>174226.42+I215+I216</f>
        <v>290152.16000000003</v>
      </c>
    </row>
    <row r="215" spans="1:9">
      <c r="A215" s="22" t="s">
        <v>14</v>
      </c>
      <c r="B215" s="23"/>
      <c r="C215" s="23"/>
      <c r="D215" s="23"/>
      <c r="E215" s="23"/>
      <c r="F215" s="24"/>
      <c r="G215" s="17">
        <v>138179.91</v>
      </c>
      <c r="H215" s="17">
        <v>73891.820000000007</v>
      </c>
      <c r="I215" s="17">
        <v>67290.429999999993</v>
      </c>
    </row>
    <row r="216" spans="1:9">
      <c r="A216" s="22" t="s">
        <v>89</v>
      </c>
      <c r="B216" s="23"/>
      <c r="C216" s="23"/>
      <c r="D216" s="23"/>
      <c r="E216" s="23"/>
      <c r="F216" s="24"/>
      <c r="G216" s="17">
        <v>104220</v>
      </c>
      <c r="H216" s="17">
        <v>63552.13</v>
      </c>
      <c r="I216" s="17">
        <v>48635.31</v>
      </c>
    </row>
    <row r="217" spans="1:9" ht="86.4">
      <c r="A217" s="18" t="s">
        <v>85</v>
      </c>
      <c r="B217" s="18" t="s">
        <v>106</v>
      </c>
      <c r="C217" s="12" t="s">
        <v>92</v>
      </c>
      <c r="D217" s="13">
        <v>41275</v>
      </c>
      <c r="E217" s="13">
        <v>41639</v>
      </c>
      <c r="F217" s="14" t="s">
        <v>93</v>
      </c>
      <c r="G217" s="17">
        <f>314196.54+G218+G219</f>
        <v>518791.62</v>
      </c>
      <c r="H217" s="17">
        <f>254514.17+H218+H219+94.74</f>
        <v>417989.78</v>
      </c>
      <c r="I217" s="17">
        <f>180866.7+I218+I219+86.59</f>
        <v>302209.28000000003</v>
      </c>
    </row>
    <row r="218" spans="1:9">
      <c r="A218" s="22" t="s">
        <v>14</v>
      </c>
      <c r="B218" s="23"/>
      <c r="C218" s="23"/>
      <c r="D218" s="23"/>
      <c r="E218" s="23"/>
      <c r="F218" s="24"/>
      <c r="G218" s="17">
        <v>115495.08</v>
      </c>
      <c r="H218" s="17">
        <v>91871.21</v>
      </c>
      <c r="I218" s="17">
        <v>66839.039999999994</v>
      </c>
    </row>
    <row r="219" spans="1:9">
      <c r="A219" s="22" t="s">
        <v>89</v>
      </c>
      <c r="B219" s="23"/>
      <c r="C219" s="23"/>
      <c r="D219" s="23"/>
      <c r="E219" s="23"/>
      <c r="F219" s="24"/>
      <c r="G219" s="17">
        <v>89100</v>
      </c>
      <c r="H219" s="17">
        <v>71509.66</v>
      </c>
      <c r="I219" s="17">
        <v>54416.95</v>
      </c>
    </row>
    <row r="220" spans="1:9" ht="86.4">
      <c r="A220" s="18" t="s">
        <v>85</v>
      </c>
      <c r="B220" s="18" t="s">
        <v>106</v>
      </c>
      <c r="C220" s="12" t="s">
        <v>103</v>
      </c>
      <c r="D220" s="13">
        <v>41275</v>
      </c>
      <c r="E220" s="13">
        <v>41639</v>
      </c>
      <c r="F220" s="14" t="s">
        <v>93</v>
      </c>
      <c r="G220" s="17">
        <f>149557.14+G221+G222</f>
        <v>246653.12000000002</v>
      </c>
      <c r="H220" s="17">
        <f>105196.46+H221+H222</f>
        <v>175064.36</v>
      </c>
      <c r="I220" s="17">
        <f>58556.72+I221+I222</f>
        <v>94558.06</v>
      </c>
    </row>
    <row r="221" spans="1:9">
      <c r="A221" s="22" t="s">
        <v>14</v>
      </c>
      <c r="B221" s="23"/>
      <c r="C221" s="23"/>
      <c r="D221" s="23"/>
      <c r="E221" s="23"/>
      <c r="F221" s="24"/>
      <c r="G221" s="17">
        <v>54975.98</v>
      </c>
      <c r="H221" s="17">
        <v>38545.72</v>
      </c>
      <c r="I221" s="17">
        <v>21646.98</v>
      </c>
    </row>
    <row r="222" spans="1:9">
      <c r="A222" s="22" t="s">
        <v>89</v>
      </c>
      <c r="B222" s="23"/>
      <c r="C222" s="23"/>
      <c r="D222" s="23"/>
      <c r="E222" s="23"/>
      <c r="F222" s="24"/>
      <c r="G222" s="17">
        <v>42120</v>
      </c>
      <c r="H222" s="17">
        <v>31322.18</v>
      </c>
      <c r="I222" s="17">
        <v>14354.36</v>
      </c>
    </row>
    <row r="223" spans="1:9" ht="86.4">
      <c r="A223" s="18" t="s">
        <v>85</v>
      </c>
      <c r="B223" s="18" t="s">
        <v>106</v>
      </c>
      <c r="C223" s="12" t="s">
        <v>108</v>
      </c>
      <c r="D223" s="13">
        <v>41275</v>
      </c>
      <c r="E223" s="13">
        <v>41639</v>
      </c>
      <c r="F223" s="14" t="s">
        <v>93</v>
      </c>
      <c r="G223" s="17">
        <f>229607.11+G224+G225</f>
        <v>383533.74</v>
      </c>
      <c r="H223" s="17">
        <f>150954.44+H224+H225+4.2</f>
        <v>252659.16000000003</v>
      </c>
      <c r="I223" s="17">
        <f>99470.1+I224+I225</f>
        <v>164398.1</v>
      </c>
    </row>
    <row r="224" spans="1:9">
      <c r="A224" s="22" t="s">
        <v>14</v>
      </c>
      <c r="B224" s="23"/>
      <c r="C224" s="23"/>
      <c r="D224" s="23"/>
      <c r="E224" s="23"/>
      <c r="F224" s="24"/>
      <c r="G224" s="17">
        <v>84401.63</v>
      </c>
      <c r="H224" s="17">
        <v>55488.95</v>
      </c>
      <c r="I224" s="17">
        <v>36899.74</v>
      </c>
    </row>
    <row r="225" spans="1:9">
      <c r="A225" s="22" t="s">
        <v>89</v>
      </c>
      <c r="B225" s="23"/>
      <c r="C225" s="23"/>
      <c r="D225" s="23"/>
      <c r="E225" s="23"/>
      <c r="F225" s="24"/>
      <c r="G225" s="17">
        <v>69525</v>
      </c>
      <c r="H225" s="17">
        <v>46211.57</v>
      </c>
      <c r="I225" s="17">
        <v>28028.26</v>
      </c>
    </row>
    <row r="226" spans="1:9" ht="86.4">
      <c r="A226" s="18" t="s">
        <v>85</v>
      </c>
      <c r="B226" s="18" t="s">
        <v>106</v>
      </c>
      <c r="C226" s="12" t="s">
        <v>109</v>
      </c>
      <c r="D226" s="13">
        <v>41275</v>
      </c>
      <c r="E226" s="13">
        <v>41639</v>
      </c>
      <c r="F226" s="14" t="s">
        <v>93</v>
      </c>
      <c r="G226" s="17">
        <f>305245.36+G227+G228</f>
        <v>503783.24</v>
      </c>
      <c r="H226" s="17">
        <f>264873.98+H227+H228+111.41</f>
        <v>442470.19999999995</v>
      </c>
      <c r="I226" s="17">
        <f>151365.42+I227+I228+16.74</f>
        <v>246605.83000000002</v>
      </c>
    </row>
    <row r="227" spans="1:9">
      <c r="A227" s="22" t="s">
        <v>14</v>
      </c>
      <c r="B227" s="23"/>
      <c r="C227" s="23"/>
      <c r="D227" s="23"/>
      <c r="E227" s="23"/>
      <c r="F227" s="24"/>
      <c r="G227" s="17">
        <v>112205.38</v>
      </c>
      <c r="H227" s="17">
        <v>98390.39</v>
      </c>
      <c r="I227" s="17">
        <v>57482.34</v>
      </c>
    </row>
    <row r="228" spans="1:9">
      <c r="A228" s="22" t="s">
        <v>89</v>
      </c>
      <c r="B228" s="23"/>
      <c r="C228" s="23"/>
      <c r="D228" s="23"/>
      <c r="E228" s="23"/>
      <c r="F228" s="24"/>
      <c r="G228" s="17">
        <v>86332.5</v>
      </c>
      <c r="H228" s="17">
        <v>79094.42</v>
      </c>
      <c r="I228" s="17">
        <v>37741.33</v>
      </c>
    </row>
    <row r="229" spans="1:9" ht="86.4">
      <c r="A229" s="18" t="s">
        <v>85</v>
      </c>
      <c r="B229" s="18" t="s">
        <v>106</v>
      </c>
      <c r="C229" s="12" t="s">
        <v>94</v>
      </c>
      <c r="D229" s="13">
        <v>41275</v>
      </c>
      <c r="E229" s="13">
        <v>41639</v>
      </c>
      <c r="F229" s="14" t="s">
        <v>93</v>
      </c>
      <c r="G229" s="17">
        <f>229532.7+G230+G231</f>
        <v>388903.51</v>
      </c>
      <c r="H229" s="17">
        <f>153349.73+H230+H231</f>
        <v>260415.73</v>
      </c>
      <c r="I229" s="17">
        <f>84973.68+I230+I231</f>
        <v>149215.06999999998</v>
      </c>
    </row>
    <row r="230" spans="1:9">
      <c r="A230" s="22" t="s">
        <v>14</v>
      </c>
      <c r="B230" s="23"/>
      <c r="C230" s="23"/>
      <c r="D230" s="23"/>
      <c r="E230" s="23"/>
      <c r="F230" s="24"/>
      <c r="G230" s="17">
        <v>84310.81</v>
      </c>
      <c r="H230" s="17">
        <v>55914.65</v>
      </c>
      <c r="I230" s="17">
        <v>34398.870000000003</v>
      </c>
    </row>
    <row r="231" spans="1:9">
      <c r="A231" s="22" t="s">
        <v>89</v>
      </c>
      <c r="B231" s="23"/>
      <c r="C231" s="23"/>
      <c r="D231" s="23"/>
      <c r="E231" s="23"/>
      <c r="F231" s="24"/>
      <c r="G231" s="17">
        <v>75060</v>
      </c>
      <c r="H231" s="17">
        <v>51151.35</v>
      </c>
      <c r="I231" s="17">
        <v>29842.52</v>
      </c>
    </row>
    <row r="232" spans="1:9" ht="86.4">
      <c r="A232" s="18" t="s">
        <v>85</v>
      </c>
      <c r="B232" s="18" t="s">
        <v>106</v>
      </c>
      <c r="C232" s="12" t="s">
        <v>110</v>
      </c>
      <c r="D232" s="13">
        <v>41275</v>
      </c>
      <c r="E232" s="13">
        <v>41639</v>
      </c>
      <c r="F232" s="14" t="s">
        <v>93</v>
      </c>
      <c r="G232" s="17">
        <f>307558.2+G233+G234</f>
        <v>507012.9</v>
      </c>
      <c r="H232" s="17">
        <f>267661.74+H233+H234+22.23</f>
        <v>440726.14999999997</v>
      </c>
      <c r="I232" s="17">
        <f>105065.32+I233+I234+28.19</f>
        <v>175638.08000000002</v>
      </c>
    </row>
    <row r="233" spans="1:9">
      <c r="A233" s="22" t="s">
        <v>14</v>
      </c>
      <c r="B233" s="23"/>
      <c r="C233" s="23"/>
      <c r="D233" s="23"/>
      <c r="E233" s="23"/>
      <c r="F233" s="24"/>
      <c r="G233" s="17">
        <v>113054.7</v>
      </c>
      <c r="H233" s="17">
        <v>96567.76</v>
      </c>
      <c r="I233" s="17">
        <v>40110.15</v>
      </c>
    </row>
    <row r="234" spans="1:9">
      <c r="A234" s="22" t="s">
        <v>89</v>
      </c>
      <c r="B234" s="23"/>
      <c r="C234" s="23"/>
      <c r="D234" s="23"/>
      <c r="E234" s="23"/>
      <c r="F234" s="24"/>
      <c r="G234" s="17">
        <v>86400</v>
      </c>
      <c r="H234" s="17">
        <v>76474.42</v>
      </c>
      <c r="I234" s="17">
        <v>30434.42</v>
      </c>
    </row>
    <row r="235" spans="1:9" ht="86.4">
      <c r="A235" s="18" t="s">
        <v>85</v>
      </c>
      <c r="B235" s="18" t="s">
        <v>106</v>
      </c>
      <c r="C235" s="12" t="s">
        <v>97</v>
      </c>
      <c r="D235" s="13">
        <v>41275</v>
      </c>
      <c r="E235" s="13">
        <v>41639</v>
      </c>
      <c r="F235" s="14" t="s">
        <v>93</v>
      </c>
      <c r="G235" s="17">
        <f>601469.85+G236+G237</f>
        <v>991156.73</v>
      </c>
      <c r="H235" s="17">
        <f>570429.41+H236+H237+137.69</f>
        <v>950062.19000000006</v>
      </c>
      <c r="I235" s="17">
        <f>247396.99+I236+I237</f>
        <v>404496.69999999995</v>
      </c>
    </row>
    <row r="236" spans="1:9">
      <c r="A236" s="22" t="s">
        <v>14</v>
      </c>
      <c r="B236" s="23"/>
      <c r="C236" s="23"/>
      <c r="D236" s="23"/>
      <c r="E236" s="23"/>
      <c r="F236" s="24"/>
      <c r="G236" s="17">
        <v>221094.38</v>
      </c>
      <c r="H236" s="17">
        <v>209178.17</v>
      </c>
      <c r="I236" s="17">
        <v>91056.06</v>
      </c>
    </row>
    <row r="237" spans="1:9">
      <c r="A237" s="22" t="s">
        <v>89</v>
      </c>
      <c r="B237" s="23"/>
      <c r="C237" s="23"/>
      <c r="D237" s="23"/>
      <c r="E237" s="23"/>
      <c r="F237" s="24"/>
      <c r="G237" s="17">
        <v>168592.5</v>
      </c>
      <c r="H237" s="17">
        <v>170316.92</v>
      </c>
      <c r="I237" s="17">
        <v>66043.649999999994</v>
      </c>
    </row>
    <row r="238" spans="1:9" ht="86.4">
      <c r="A238" s="18" t="s">
        <v>85</v>
      </c>
      <c r="B238" s="18" t="s">
        <v>111</v>
      </c>
      <c r="C238" s="12" t="s">
        <v>92</v>
      </c>
      <c r="D238" s="13">
        <v>41275</v>
      </c>
      <c r="E238" s="13">
        <v>41639</v>
      </c>
      <c r="F238" s="14" t="s">
        <v>93</v>
      </c>
      <c r="G238" s="17">
        <f>157401.76+G239+G240</f>
        <v>254411.25</v>
      </c>
      <c r="H238" s="17">
        <f>137421.21+H240+H239+1.3</f>
        <v>222320.4</v>
      </c>
      <c r="I238" s="17">
        <f>58476.13+I240+I239</f>
        <v>94891.17</v>
      </c>
    </row>
    <row r="239" spans="1:9">
      <c r="A239" s="22" t="s">
        <v>14</v>
      </c>
      <c r="B239" s="23"/>
      <c r="C239" s="23"/>
      <c r="D239" s="23"/>
      <c r="E239" s="23"/>
      <c r="F239" s="24"/>
      <c r="G239" s="17">
        <v>57859.49</v>
      </c>
      <c r="H239" s="17">
        <v>50895.13</v>
      </c>
      <c r="I239" s="17">
        <v>22400.33</v>
      </c>
    </row>
    <row r="240" spans="1:9">
      <c r="A240" s="22" t="s">
        <v>89</v>
      </c>
      <c r="B240" s="23"/>
      <c r="C240" s="23"/>
      <c r="D240" s="23"/>
      <c r="E240" s="23"/>
      <c r="F240" s="24"/>
      <c r="G240" s="17">
        <v>39150</v>
      </c>
      <c r="H240" s="17">
        <v>34002.76</v>
      </c>
      <c r="I240" s="17">
        <v>14014.71</v>
      </c>
    </row>
    <row r="241" spans="1:9" ht="86.4">
      <c r="A241" s="19" t="s">
        <v>85</v>
      </c>
      <c r="B241" s="19" t="s">
        <v>111</v>
      </c>
      <c r="C241" s="20" t="s">
        <v>110</v>
      </c>
      <c r="D241" s="13">
        <v>41275</v>
      </c>
      <c r="E241" s="13">
        <v>41639</v>
      </c>
      <c r="F241" s="21" t="s">
        <v>93</v>
      </c>
      <c r="G241" s="17">
        <f>152643.69+G242+G243</f>
        <v>249524.37</v>
      </c>
      <c r="H241" s="17">
        <f>134659.9+H242+H243</f>
        <v>220204.57</v>
      </c>
      <c r="I241" s="17">
        <f>40504.76+I242+I243</f>
        <v>65303.490000000005</v>
      </c>
    </row>
    <row r="242" spans="1:9">
      <c r="A242" s="26" t="s">
        <v>14</v>
      </c>
      <c r="B242" s="27"/>
      <c r="C242" s="27"/>
      <c r="D242" s="27"/>
      <c r="E242" s="27"/>
      <c r="F242" s="28"/>
      <c r="G242" s="17">
        <v>56110.68</v>
      </c>
      <c r="H242" s="17">
        <v>49348.57</v>
      </c>
      <c r="I242" s="17">
        <v>13128.82</v>
      </c>
    </row>
    <row r="243" spans="1:9">
      <c r="A243" s="26" t="s">
        <v>89</v>
      </c>
      <c r="B243" s="27"/>
      <c r="C243" s="27"/>
      <c r="D243" s="27"/>
      <c r="E243" s="27"/>
      <c r="F243" s="28"/>
      <c r="G243" s="17">
        <v>40770</v>
      </c>
      <c r="H243" s="17">
        <v>36196.1</v>
      </c>
      <c r="I243" s="17">
        <v>11669.91</v>
      </c>
    </row>
    <row r="244" spans="1:9" ht="86.4">
      <c r="A244" s="19" t="s">
        <v>85</v>
      </c>
      <c r="B244" s="19" t="s">
        <v>111</v>
      </c>
      <c r="C244" s="20" t="s">
        <v>96</v>
      </c>
      <c r="D244" s="13">
        <v>41275</v>
      </c>
      <c r="E244" s="13">
        <v>41639</v>
      </c>
      <c r="F244" s="21" t="s">
        <v>93</v>
      </c>
      <c r="G244" s="17">
        <f>228068.22+G245+G246</f>
        <v>380082.53</v>
      </c>
      <c r="H244" s="17">
        <f>209394.17+H246+H245+51</f>
        <v>355796.89</v>
      </c>
      <c r="I244" s="17">
        <f>81175.78+I245+I246</f>
        <v>126480.86</v>
      </c>
    </row>
    <row r="245" spans="1:9">
      <c r="A245" s="26" t="s">
        <v>14</v>
      </c>
      <c r="B245" s="27"/>
      <c r="C245" s="27"/>
      <c r="D245" s="27"/>
      <c r="E245" s="27"/>
      <c r="F245" s="28"/>
      <c r="G245" s="17">
        <v>83834.81</v>
      </c>
      <c r="H245" s="17">
        <v>77091.45</v>
      </c>
      <c r="I245" s="17">
        <v>29131.34</v>
      </c>
    </row>
    <row r="246" spans="1:9">
      <c r="A246" s="26" t="s">
        <v>89</v>
      </c>
      <c r="B246" s="27"/>
      <c r="C246" s="27"/>
      <c r="D246" s="27"/>
      <c r="E246" s="27"/>
      <c r="F246" s="28"/>
      <c r="G246" s="17">
        <v>68179.5</v>
      </c>
      <c r="H246" s="17">
        <v>69260.27</v>
      </c>
      <c r="I246" s="17">
        <v>16173.74</v>
      </c>
    </row>
  </sheetData>
  <mergeCells count="143">
    <mergeCell ref="A242:F242"/>
    <mergeCell ref="A243:F243"/>
    <mergeCell ref="A245:F245"/>
    <mergeCell ref="A246:F246"/>
    <mergeCell ref="A233:F233"/>
    <mergeCell ref="A234:F234"/>
    <mergeCell ref="A236:F236"/>
    <mergeCell ref="A237:F237"/>
    <mergeCell ref="A239:F239"/>
    <mergeCell ref="A240:F240"/>
    <mergeCell ref="A224:F224"/>
    <mergeCell ref="A225:F225"/>
    <mergeCell ref="A227:F227"/>
    <mergeCell ref="A228:F228"/>
    <mergeCell ref="A230:F230"/>
    <mergeCell ref="A231:F231"/>
    <mergeCell ref="A215:F215"/>
    <mergeCell ref="A216:F216"/>
    <mergeCell ref="A218:F218"/>
    <mergeCell ref="A219:F219"/>
    <mergeCell ref="A221:F221"/>
    <mergeCell ref="A222:F222"/>
    <mergeCell ref="A206:F206"/>
    <mergeCell ref="A207:F207"/>
    <mergeCell ref="A209:F209"/>
    <mergeCell ref="A210:F210"/>
    <mergeCell ref="A212:F212"/>
    <mergeCell ref="A213:F213"/>
    <mergeCell ref="A197:F197"/>
    <mergeCell ref="A198:F198"/>
    <mergeCell ref="A200:F200"/>
    <mergeCell ref="A201:F201"/>
    <mergeCell ref="A203:F203"/>
    <mergeCell ref="A204:F204"/>
    <mergeCell ref="A188:F188"/>
    <mergeCell ref="A189:F189"/>
    <mergeCell ref="A191:F191"/>
    <mergeCell ref="A192:F192"/>
    <mergeCell ref="A194:F194"/>
    <mergeCell ref="A195:F195"/>
    <mergeCell ref="A179:F179"/>
    <mergeCell ref="A180:F180"/>
    <mergeCell ref="A182:F182"/>
    <mergeCell ref="A183:F183"/>
    <mergeCell ref="A185:F185"/>
    <mergeCell ref="A186:F186"/>
    <mergeCell ref="A170:F170"/>
    <mergeCell ref="A171:F171"/>
    <mergeCell ref="A173:F173"/>
    <mergeCell ref="A174:F174"/>
    <mergeCell ref="A176:F176"/>
    <mergeCell ref="A177:F177"/>
    <mergeCell ref="A161:F161"/>
    <mergeCell ref="A162:F162"/>
    <mergeCell ref="A164:F164"/>
    <mergeCell ref="A165:F165"/>
    <mergeCell ref="A167:F167"/>
    <mergeCell ref="A168:F168"/>
    <mergeCell ref="A150:F150"/>
    <mergeCell ref="A152:F152"/>
    <mergeCell ref="A154:F154"/>
    <mergeCell ref="A156:F156"/>
    <mergeCell ref="A158:F158"/>
    <mergeCell ref="A159:F159"/>
    <mergeCell ref="A138:F138"/>
    <mergeCell ref="A140:F140"/>
    <mergeCell ref="A142:F142"/>
    <mergeCell ref="A144:F144"/>
    <mergeCell ref="A146:F146"/>
    <mergeCell ref="A148:F148"/>
    <mergeCell ref="A126:F126"/>
    <mergeCell ref="A128:F128"/>
    <mergeCell ref="A130:F130"/>
    <mergeCell ref="A132:F132"/>
    <mergeCell ref="A134:F134"/>
    <mergeCell ref="A136:F136"/>
    <mergeCell ref="A114:F114"/>
    <mergeCell ref="A116:F116"/>
    <mergeCell ref="A118:F118"/>
    <mergeCell ref="A120:F120"/>
    <mergeCell ref="A122:F122"/>
    <mergeCell ref="A124:F124"/>
    <mergeCell ref="A98:F98"/>
    <mergeCell ref="A101:F101"/>
    <mergeCell ref="A104:F104"/>
    <mergeCell ref="A107:F107"/>
    <mergeCell ref="A110:F110"/>
    <mergeCell ref="A112:F112"/>
    <mergeCell ref="A85:F85"/>
    <mergeCell ref="A87:F87"/>
    <mergeCell ref="A89:F89"/>
    <mergeCell ref="A91:F91"/>
    <mergeCell ref="A94:F94"/>
    <mergeCell ref="A96:F96"/>
    <mergeCell ref="A93:F93"/>
    <mergeCell ref="A100:F100"/>
    <mergeCell ref="A103:F103"/>
    <mergeCell ref="A106:F106"/>
    <mergeCell ref="A109:F109"/>
    <mergeCell ref="A73:F73"/>
    <mergeCell ref="A75:F75"/>
    <mergeCell ref="A77:F77"/>
    <mergeCell ref="A79:F79"/>
    <mergeCell ref="A81:F81"/>
    <mergeCell ref="A83:F83"/>
    <mergeCell ref="A57:F57"/>
    <mergeCell ref="A59:F59"/>
    <mergeCell ref="A61:F61"/>
    <mergeCell ref="A64:F64"/>
    <mergeCell ref="A67:F67"/>
    <mergeCell ref="A70:F70"/>
    <mergeCell ref="A63:F63"/>
    <mergeCell ref="A66:F66"/>
    <mergeCell ref="A69:F69"/>
    <mergeCell ref="A72:F72"/>
    <mergeCell ref="A45:F45"/>
    <mergeCell ref="A47:F47"/>
    <mergeCell ref="A49:F49"/>
    <mergeCell ref="A51:F51"/>
    <mergeCell ref="A53:F53"/>
    <mergeCell ref="A55:F55"/>
    <mergeCell ref="A29:F29"/>
    <mergeCell ref="A31:F31"/>
    <mergeCell ref="A34:F34"/>
    <mergeCell ref="A36:F36"/>
    <mergeCell ref="A40:F40"/>
    <mergeCell ref="A42:F42"/>
    <mergeCell ref="A33:F33"/>
    <mergeCell ref="A37:F37"/>
    <mergeCell ref="A39:F39"/>
    <mergeCell ref="A44:F44"/>
    <mergeCell ref="A17:F17"/>
    <mergeCell ref="A19:F19"/>
    <mergeCell ref="A21:F21"/>
    <mergeCell ref="A23:F23"/>
    <mergeCell ref="A25:F25"/>
    <mergeCell ref="A27:F27"/>
    <mergeCell ref="B2:H2"/>
    <mergeCell ref="A7:F7"/>
    <mergeCell ref="A9:F9"/>
    <mergeCell ref="A11:F11"/>
    <mergeCell ref="A13:F13"/>
    <mergeCell ref="A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2014-03-24T07:07:23Z</dcterms:created>
  <dcterms:modified xsi:type="dcterms:W3CDTF">2014-04-02T09:08:53Z</dcterms:modified>
</cp:coreProperties>
</file>