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264" windowWidth="14844" windowHeight="8652" tabRatio="954" firstSheet="20" activeTab="27"/>
  </bookViews>
  <sheets>
    <sheet name="кедровая 4" sheetId="1" r:id="rId1"/>
    <sheet name="зелёная 3" sheetId="6" r:id="rId2"/>
    <sheet name="зеленая 4" sheetId="25" r:id="rId3"/>
    <sheet name="зелёная 5" sheetId="24" r:id="rId4"/>
    <sheet name="сибирская 2" sheetId="23" r:id="rId5"/>
    <sheet name="сибирская 6" sheetId="22" r:id="rId6"/>
    <sheet name="сибирская 8" sheetId="21" r:id="rId7"/>
    <sheet name="сибирская 10" sheetId="20" r:id="rId8"/>
    <sheet name="сибирская 14" sheetId="19" r:id="rId9"/>
    <sheet name="сибирская 16" sheetId="18" r:id="rId10"/>
    <sheet name="зеленая 8" sheetId="17" r:id="rId11"/>
    <sheet name="зелёная 10" sheetId="16" r:id="rId12"/>
    <sheet name="зелёная 11" sheetId="15" r:id="rId13"/>
    <sheet name="зелёная 12" sheetId="14" r:id="rId14"/>
    <sheet name="зелёная 14" sheetId="13" r:id="rId15"/>
    <sheet name="зелёная 17" sheetId="12" r:id="rId16"/>
    <sheet name="зелёная 19" sheetId="11" r:id="rId17"/>
    <sheet name="снежная 1" sheetId="10" r:id="rId18"/>
    <sheet name="снежная 3" sheetId="9" r:id="rId19"/>
    <sheet name="снежная 5" sheetId="8" r:id="rId20"/>
    <sheet name="снежная 7" sheetId="7" r:id="rId21"/>
    <sheet name="снежная 9" sheetId="2" r:id="rId22"/>
    <sheet name="снежная 12" sheetId="5" r:id="rId23"/>
    <sheet name="снежная 4" sheetId="34" r:id="rId24"/>
    <sheet name="снежная 6" sheetId="33" r:id="rId25"/>
    <sheet name="снежная 6а" sheetId="32" r:id="rId26"/>
    <sheet name="снежная 8" sheetId="31" r:id="rId27"/>
    <sheet name="берёзовая 5" sheetId="30" r:id="rId28"/>
    <sheet name="тариф" sheetId="28" state="hidden" r:id="rId29"/>
    <sheet name="площадь" sheetId="27" state="hidden" r:id="rId30"/>
  </sheets>
  <externalReferences>
    <externalReference r:id="rId31"/>
  </externalReferences>
  <calcPr calcId="125725"/>
</workbook>
</file>

<file path=xl/calcChain.xml><?xml version="1.0" encoding="utf-8"?>
<calcChain xmlns="http://schemas.openxmlformats.org/spreadsheetml/2006/main">
  <c r="D41" i="30"/>
  <c r="D35"/>
  <c r="D34"/>
  <c r="D43" i="31"/>
  <c r="D42"/>
  <c r="D36"/>
  <c r="D35"/>
  <c r="D43" i="32"/>
  <c r="D44" s="1"/>
  <c r="D37"/>
  <c r="D36"/>
  <c r="D42" i="33"/>
  <c r="D41"/>
  <c r="D34"/>
  <c r="D34" i="34"/>
  <c r="D40"/>
  <c r="D41" s="1"/>
  <c r="D35"/>
  <c r="D37" i="5"/>
  <c r="D38" s="1"/>
  <c r="D45"/>
  <c r="D44"/>
  <c r="D40" i="2"/>
  <c r="D39"/>
  <c r="D33"/>
  <c r="D32"/>
  <c r="D38" i="7"/>
  <c r="D45"/>
  <c r="D44"/>
  <c r="D37"/>
  <c r="D44" i="8"/>
  <c r="D38"/>
  <c r="D37"/>
  <c r="D46" i="9"/>
  <c r="D39"/>
  <c r="D44" i="10"/>
  <c r="D36"/>
  <c r="D35"/>
  <c r="D43"/>
  <c r="D44" i="11"/>
  <c r="D38"/>
  <c r="D37"/>
  <c r="D10"/>
  <c r="D40" i="30"/>
  <c r="D43" i="8"/>
  <c r="D45" i="9"/>
  <c r="D43" i="11"/>
  <c r="D45" i="12"/>
  <c r="D44"/>
  <c r="D38"/>
  <c r="D39" s="1"/>
  <c r="D43" i="17"/>
  <c r="D42" i="13"/>
  <c r="D35"/>
  <c r="D36" s="1"/>
  <c r="D34" i="14"/>
  <c r="D35" s="1"/>
  <c r="D41"/>
  <c r="D43" i="15" l="1"/>
  <c r="D37"/>
  <c r="D36"/>
  <c r="D41" i="13"/>
  <c r="D40" i="14"/>
  <c r="D42" i="15"/>
  <c r="D44" i="16"/>
  <c r="D43"/>
  <c r="D37"/>
  <c r="D44" i="17"/>
  <c r="D36"/>
  <c r="D44" i="18"/>
  <c r="D43"/>
  <c r="D38"/>
  <c r="D37"/>
  <c r="D42" i="19"/>
  <c r="D41"/>
  <c r="D37"/>
  <c r="D36"/>
  <c r="D40" i="20"/>
  <c r="D39"/>
  <c r="D35"/>
  <c r="D34"/>
  <c r="D11"/>
  <c r="D43" i="21"/>
  <c r="D42"/>
  <c r="D38"/>
  <c r="D37"/>
  <c r="D42" i="22"/>
  <c r="D41"/>
  <c r="D37"/>
  <c r="D36"/>
  <c r="D41" i="23"/>
  <c r="D40"/>
  <c r="D36"/>
  <c r="D35"/>
  <c r="D17"/>
  <c r="D16"/>
  <c r="D37" i="24"/>
  <c r="D36"/>
  <c r="D31"/>
  <c r="D40" i="25"/>
  <c r="D39"/>
  <c r="D34"/>
  <c r="D33"/>
  <c r="D42" i="6"/>
  <c r="D41"/>
  <c r="D36"/>
  <c r="D35"/>
  <c r="D11"/>
  <c r="D43" i="1"/>
  <c r="D37"/>
  <c r="D11" i="34" l="1"/>
  <c r="D11" i="33"/>
  <c r="D11" i="32"/>
  <c r="D11" i="31"/>
  <c r="D18" i="30"/>
  <c r="D17"/>
  <c r="D16"/>
  <c r="D15"/>
  <c r="D14"/>
  <c r="D13"/>
  <c r="D12"/>
  <c r="D11"/>
  <c r="D8"/>
  <c r="D7"/>
  <c r="D6"/>
  <c r="D21" i="31"/>
  <c r="D20"/>
  <c r="D19"/>
  <c r="D18"/>
  <c r="D17"/>
  <c r="D16"/>
  <c r="D15"/>
  <c r="D14"/>
  <c r="D10"/>
  <c r="D9"/>
  <c r="D21" i="32"/>
  <c r="D20"/>
  <c r="D19"/>
  <c r="D18"/>
  <c r="D17"/>
  <c r="D16"/>
  <c r="D15"/>
  <c r="D14"/>
  <c r="D10"/>
  <c r="D9"/>
  <c r="D21" i="33"/>
  <c r="D20"/>
  <c r="D19"/>
  <c r="D18"/>
  <c r="D17"/>
  <c r="D16"/>
  <c r="D15"/>
  <c r="D14"/>
  <c r="D10"/>
  <c r="D35" s="1"/>
  <c r="D9"/>
  <c r="D21" i="34"/>
  <c r="D20"/>
  <c r="D19"/>
  <c r="D18"/>
  <c r="D17"/>
  <c r="D16"/>
  <c r="D15"/>
  <c r="D14"/>
  <c r="D10"/>
  <c r="D9"/>
  <c r="D20" i="30" l="1"/>
  <c r="D21" s="1"/>
  <c r="D23" i="31"/>
  <c r="D24" s="1"/>
  <c r="D23" i="32"/>
  <c r="D24" s="1"/>
  <c r="D23" i="33"/>
  <c r="D23" i="34"/>
  <c r="D24" s="1"/>
  <c r="D5" i="30"/>
  <c r="D8" i="31"/>
  <c r="D8" i="32"/>
  <c r="D8" i="33"/>
  <c r="D8" i="34"/>
  <c r="D21" i="5"/>
  <c r="D20"/>
  <c r="D19"/>
  <c r="D18"/>
  <c r="D17"/>
  <c r="D16"/>
  <c r="D15"/>
  <c r="D14"/>
  <c r="D11"/>
  <c r="D10"/>
  <c r="D9"/>
  <c r="D21" i="2"/>
  <c r="D20"/>
  <c r="D19"/>
  <c r="D18"/>
  <c r="D17"/>
  <c r="D16"/>
  <c r="D15"/>
  <c r="D14"/>
  <c r="D11"/>
  <c r="D10"/>
  <c r="D9"/>
  <c r="D21" i="7"/>
  <c r="D20"/>
  <c r="D19"/>
  <c r="D18"/>
  <c r="D17"/>
  <c r="D16"/>
  <c r="D15"/>
  <c r="D14"/>
  <c r="D11"/>
  <c r="D10"/>
  <c r="D9"/>
  <c r="D21" i="8"/>
  <c r="D20"/>
  <c r="D19"/>
  <c r="D18"/>
  <c r="D17"/>
  <c r="D16"/>
  <c r="D15"/>
  <c r="D14"/>
  <c r="D11"/>
  <c r="D10"/>
  <c r="D9"/>
  <c r="D21" i="9"/>
  <c r="D20"/>
  <c r="D19"/>
  <c r="D18"/>
  <c r="D17"/>
  <c r="D16"/>
  <c r="D15"/>
  <c r="D14"/>
  <c r="D11"/>
  <c r="D10"/>
  <c r="D9"/>
  <c r="D21" i="10"/>
  <c r="D20"/>
  <c r="D19"/>
  <c r="D18"/>
  <c r="D17"/>
  <c r="D16"/>
  <c r="D15"/>
  <c r="D14"/>
  <c r="D11"/>
  <c r="D10"/>
  <c r="D9"/>
  <c r="D21" i="11"/>
  <c r="D20"/>
  <c r="D19"/>
  <c r="D18"/>
  <c r="D17"/>
  <c r="D16"/>
  <c r="D15"/>
  <c r="D14"/>
  <c r="D11"/>
  <c r="D8" s="1"/>
  <c r="D9"/>
  <c r="D21" i="12"/>
  <c r="D20"/>
  <c r="D19"/>
  <c r="D18"/>
  <c r="D17"/>
  <c r="D16"/>
  <c r="D15"/>
  <c r="D14"/>
  <c r="D11"/>
  <c r="D8" s="1"/>
  <c r="D10"/>
  <c r="D9"/>
  <c r="D21" i="13"/>
  <c r="D20"/>
  <c r="D19"/>
  <c r="D18"/>
  <c r="D17"/>
  <c r="D16"/>
  <c r="D15"/>
  <c r="D14"/>
  <c r="D11"/>
  <c r="D10"/>
  <c r="D9"/>
  <c r="D19" i="14"/>
  <c r="D18"/>
  <c r="D17"/>
  <c r="D16"/>
  <c r="D15"/>
  <c r="D14"/>
  <c r="D13"/>
  <c r="D12"/>
  <c r="D9"/>
  <c r="D8"/>
  <c r="D7"/>
  <c r="D21" i="15"/>
  <c r="D20"/>
  <c r="D19"/>
  <c r="D18"/>
  <c r="D17"/>
  <c r="D16"/>
  <c r="D15"/>
  <c r="D14"/>
  <c r="D11"/>
  <c r="D10"/>
  <c r="D9"/>
  <c r="D21" i="16"/>
  <c r="D20"/>
  <c r="D19"/>
  <c r="D18"/>
  <c r="D17"/>
  <c r="D16"/>
  <c r="D15"/>
  <c r="D14"/>
  <c r="D11"/>
  <c r="D10"/>
  <c r="D38" s="1"/>
  <c r="D9"/>
  <c r="D21" i="17"/>
  <c r="D20"/>
  <c r="D19"/>
  <c r="D18"/>
  <c r="D17"/>
  <c r="D16"/>
  <c r="D15"/>
  <c r="D14"/>
  <c r="D11"/>
  <c r="D10"/>
  <c r="D9"/>
  <c r="D21" i="18"/>
  <c r="D20"/>
  <c r="D19"/>
  <c r="D18"/>
  <c r="D17"/>
  <c r="D16"/>
  <c r="D15"/>
  <c r="D14"/>
  <c r="D11"/>
  <c r="D10"/>
  <c r="D9"/>
  <c r="D21" i="19"/>
  <c r="D20"/>
  <c r="D19"/>
  <c r="D18"/>
  <c r="D17"/>
  <c r="D16"/>
  <c r="D15"/>
  <c r="D14"/>
  <c r="D11"/>
  <c r="D10"/>
  <c r="D9"/>
  <c r="D8" i="5"/>
  <c r="D8" i="8"/>
  <c r="D8" i="10"/>
  <c r="D8" i="16"/>
  <c r="D8" i="18"/>
  <c r="D21" i="20"/>
  <c r="D20"/>
  <c r="D19"/>
  <c r="D18"/>
  <c r="D17"/>
  <c r="D16"/>
  <c r="D15"/>
  <c r="D14"/>
  <c r="D10"/>
  <c r="D9"/>
  <c r="D21" i="21"/>
  <c r="D20"/>
  <c r="D19"/>
  <c r="D18"/>
  <c r="D17"/>
  <c r="D16"/>
  <c r="D15"/>
  <c r="D14"/>
  <c r="D10"/>
  <c r="D9"/>
  <c r="D11"/>
  <c r="D19" i="22"/>
  <c r="D18"/>
  <c r="D17"/>
  <c r="D16"/>
  <c r="D15"/>
  <c r="D14"/>
  <c r="D13"/>
  <c r="D12"/>
  <c r="D8"/>
  <c r="D7"/>
  <c r="D9"/>
  <c r="D19" i="23"/>
  <c r="D18"/>
  <c r="D15"/>
  <c r="D14"/>
  <c r="D13"/>
  <c r="D12"/>
  <c r="D9"/>
  <c r="D8"/>
  <c r="D7"/>
  <c r="D18" i="24"/>
  <c r="D17"/>
  <c r="D16"/>
  <c r="D15"/>
  <c r="D14"/>
  <c r="D13"/>
  <c r="D12"/>
  <c r="D11"/>
  <c r="D10"/>
  <c r="D7"/>
  <c r="D6"/>
  <c r="D32" s="1"/>
  <c r="D5"/>
  <c r="D17" i="25"/>
  <c r="D16"/>
  <c r="D15"/>
  <c r="D14"/>
  <c r="D13"/>
  <c r="D12"/>
  <c r="D11"/>
  <c r="D10"/>
  <c r="D7"/>
  <c r="D6"/>
  <c r="D5"/>
  <c r="D17" i="6"/>
  <c r="D16"/>
  <c r="D15"/>
  <c r="D14"/>
  <c r="D13"/>
  <c r="D12"/>
  <c r="D10"/>
  <c r="D7"/>
  <c r="D6"/>
  <c r="D5"/>
  <c r="D8" i="21"/>
  <c r="D6" i="23"/>
  <c r="D4" i="25"/>
  <c r="D7" i="1"/>
  <c r="D44" s="1"/>
  <c r="S33" i="27"/>
  <c r="S32"/>
  <c r="S31"/>
  <c r="S30"/>
  <c r="S29"/>
  <c r="S28"/>
  <c r="S27"/>
  <c r="S26"/>
  <c r="S25"/>
  <c r="S24"/>
  <c r="S23"/>
  <c r="S22"/>
  <c r="S21"/>
  <c r="S20"/>
  <c r="S19"/>
  <c r="S18"/>
  <c r="S17"/>
  <c r="S13"/>
  <c r="S12"/>
  <c r="S11"/>
  <c r="S10"/>
  <c r="S9"/>
  <c r="S8"/>
  <c r="S7"/>
  <c r="S6"/>
  <c r="D20" i="1"/>
  <c r="D19"/>
  <c r="D18"/>
  <c r="D17"/>
  <c r="D16"/>
  <c r="D13"/>
  <c r="D11"/>
  <c r="D10"/>
  <c r="D6"/>
  <c r="D38" s="1"/>
  <c r="D5"/>
  <c r="N34" i="27"/>
  <c r="M34"/>
  <c r="L34"/>
  <c r="K34"/>
  <c r="J34"/>
  <c r="I34"/>
  <c r="H34"/>
  <c r="G34"/>
  <c r="F34"/>
  <c r="E34"/>
  <c r="D34"/>
  <c r="C34"/>
  <c r="P13"/>
  <c r="O13"/>
  <c r="N13"/>
  <c r="M13"/>
  <c r="L13"/>
  <c r="K13"/>
  <c r="J13"/>
  <c r="I13"/>
  <c r="H13"/>
  <c r="G13"/>
  <c r="F13"/>
  <c r="E13"/>
  <c r="D13"/>
  <c r="C13"/>
  <c r="G13" i="28"/>
  <c r="G12"/>
  <c r="H13" s="1"/>
  <c r="G11"/>
  <c r="G10"/>
  <c r="G9"/>
  <c r="G8"/>
  <c r="G7"/>
  <c r="G6"/>
  <c r="G5"/>
  <c r="D23" i="5" l="1"/>
  <c r="D24" s="1"/>
  <c r="D8" i="2"/>
  <c r="D23"/>
  <c r="D24" s="1"/>
  <c r="D8" i="7"/>
  <c r="D23"/>
  <c r="D24" s="1"/>
  <c r="D23" i="8"/>
  <c r="D24" s="1"/>
  <c r="D23" i="9"/>
  <c r="D24" s="1"/>
  <c r="D8"/>
  <c r="D23" i="10"/>
  <c r="D24" s="1"/>
  <c r="D23" i="11"/>
  <c r="D24" s="1"/>
  <c r="D23" i="12"/>
  <c r="D24" s="1"/>
  <c r="D23" i="13"/>
  <c r="D8"/>
  <c r="D21" i="14"/>
  <c r="D22" s="1"/>
  <c r="D6"/>
  <c r="D8" i="15"/>
  <c r="D23"/>
  <c r="D24" s="1"/>
  <c r="D23" i="16"/>
  <c r="D24" s="1"/>
  <c r="D37" i="17"/>
  <c r="D8"/>
  <c r="D23"/>
  <c r="D24" s="1"/>
  <c r="D23" i="18"/>
  <c r="D24" s="1"/>
  <c r="D8" i="19"/>
  <c r="D23"/>
  <c r="D24" s="1"/>
  <c r="D8" i="20"/>
  <c r="D23"/>
  <c r="D24" s="1"/>
  <c r="D23" i="21"/>
  <c r="D24" s="1"/>
  <c r="D21" i="22"/>
  <c r="D22" s="1"/>
  <c r="D6"/>
  <c r="D21" i="23"/>
  <c r="D22" s="1"/>
  <c r="D19" i="24"/>
  <c r="D20" s="1"/>
  <c r="D19" i="25"/>
  <c r="D20" s="1"/>
  <c r="D19" i="6"/>
  <c r="D20" s="1"/>
  <c r="D22" i="1"/>
  <c r="D23" s="1"/>
  <c r="D4" i="24"/>
  <c r="D4" i="6"/>
  <c r="D4" i="1"/>
</calcChain>
</file>

<file path=xl/sharedStrings.xml><?xml version="1.0" encoding="utf-8"?>
<sst xmlns="http://schemas.openxmlformats.org/spreadsheetml/2006/main" count="2132" uniqueCount="156">
  <si>
    <t>Годовой план работ по содержанию и текущему ремонту общего имущества в МКД на 2013 год</t>
  </si>
  <si>
    <t>№</t>
  </si>
  <si>
    <t>Статья</t>
  </si>
  <si>
    <t>ед.изм.</t>
  </si>
  <si>
    <t>Стоимость</t>
  </si>
  <si>
    <t>Плановая сумма доходов на 2013 год</t>
  </si>
  <si>
    <t>содержание жилья</t>
  </si>
  <si>
    <t>ремонт жилья</t>
  </si>
  <si>
    <t>Запланировано по статье "содержание жилья" общего имущества МКД</t>
  </si>
  <si>
    <t>Управление многоквартирным домом</t>
  </si>
  <si>
    <t>Аварийно-диспетчерская служба</t>
  </si>
  <si>
    <t>Содержание паспортной службы</t>
  </si>
  <si>
    <t>Вывоз ТБО</t>
  </si>
  <si>
    <t>Обсл. приборов учета</t>
  </si>
  <si>
    <t>Истребование задолженности</t>
  </si>
  <si>
    <t>Электрика</t>
  </si>
  <si>
    <t>Содержание придомовой территории</t>
  </si>
  <si>
    <t>Уборка лестничных клеток</t>
  </si>
  <si>
    <t>Эксплуатация здания и оборудования</t>
  </si>
  <si>
    <t>Дезинсекция и дератизация</t>
  </si>
  <si>
    <t>Всего затрат</t>
  </si>
  <si>
    <t>Планируемый остаток на конец года</t>
  </si>
  <si>
    <t>Запланировано по статье "ремонт жилья" общего имущества МКД</t>
  </si>
  <si>
    <t>Ремонт жилья:</t>
  </si>
  <si>
    <t>Автоматика</t>
  </si>
  <si>
    <t>Водомерный узел</t>
  </si>
  <si>
    <t>Водосточные трубы</t>
  </si>
  <si>
    <t>Входные двери</t>
  </si>
  <si>
    <t>Гидроизоляция</t>
  </si>
  <si>
    <t>Запорная арматура (стояки, подвал)</t>
  </si>
  <si>
    <t>Запорно-регулирующая арматура</t>
  </si>
  <si>
    <t>Запорно-регулирующая арматура (стояки)</t>
  </si>
  <si>
    <t>КИП</t>
  </si>
  <si>
    <t>Клумбы</t>
  </si>
  <si>
    <t>Обслуживание конструктивных элементов</t>
  </si>
  <si>
    <t>Общестроительные работы</t>
  </si>
  <si>
    <t>Отмостка</t>
  </si>
  <si>
    <t>Отопительные приборы (пробки радиаторные, комплектующие)</t>
  </si>
  <si>
    <t>Подъездное электроснабжение</t>
  </si>
  <si>
    <t>Поэтажные щитки (ГРЩ)</t>
  </si>
  <si>
    <t>Регулирующие устройства</t>
  </si>
  <si>
    <t>Ремоннт ВРУ</t>
  </si>
  <si>
    <t>ремонт дверей</t>
  </si>
  <si>
    <t>ремонт подъезда</t>
  </si>
  <si>
    <t>Трубопровод (розлив)</t>
  </si>
  <si>
    <t>Трубопровод (стоячный)</t>
  </si>
  <si>
    <t>установка металлической двери</t>
  </si>
  <si>
    <t>Циркулярная линия</t>
  </si>
  <si>
    <t>Щитовая (ВРУ)</t>
  </si>
  <si>
    <t>Элеваторный узел</t>
  </si>
  <si>
    <t>Электросети подъездного освещения</t>
  </si>
  <si>
    <t>благоустройство придомовой территории и мест складирования ТБО</t>
  </si>
  <si>
    <t>Расшифровка  тарифа по  содержанию и ремонту многоквартирного дома</t>
  </si>
  <si>
    <t>Капитальные жилые дома блочного типа, имеющие все виды благоустройства, без лифта и мусоропровода</t>
  </si>
  <si>
    <t>№ п/п</t>
  </si>
  <si>
    <t>Наименование  работ (услуг) по  содержанию</t>
  </si>
  <si>
    <t>Периодичность</t>
  </si>
  <si>
    <t>Тариф, руб./м.кв</t>
  </si>
  <si>
    <t>Вывоз твердо-бытовых отходов</t>
  </si>
  <si>
    <t>ежедневно</t>
  </si>
  <si>
    <t>Аварийная служба</t>
  </si>
  <si>
    <t>круглосуточно</t>
  </si>
  <si>
    <t xml:space="preserve">Уборка лестничных клеток </t>
  </si>
  <si>
    <t>1 дн/нед.</t>
  </si>
  <si>
    <t xml:space="preserve">Уборка придомовой территории </t>
  </si>
  <si>
    <t>6 дн/нед.</t>
  </si>
  <si>
    <t>Обслуживание электросетей</t>
  </si>
  <si>
    <t>5 дн/нед.</t>
  </si>
  <si>
    <t>Дезинсексия и дератизация</t>
  </si>
  <si>
    <t>1 раз в год</t>
  </si>
  <si>
    <t>Расходы по управлению МКД</t>
  </si>
  <si>
    <t>Содержание инженерного оборудования и конструктивных элементов дома.</t>
  </si>
  <si>
    <t>Итого</t>
  </si>
  <si>
    <t>площадь</t>
  </si>
  <si>
    <t>Реестр домов находящихся в управлении у УК "ПЕРСПЕКТИВА"</t>
  </si>
  <si>
    <t>адрес</t>
  </si>
  <si>
    <t>квртиры</t>
  </si>
  <si>
    <t>площадь подъезда</t>
  </si>
  <si>
    <t>Год постройки</t>
  </si>
  <si>
    <t>общая</t>
  </si>
  <si>
    <t>Жилая (п)</t>
  </si>
  <si>
    <t>жилая</t>
  </si>
  <si>
    <t>гаражи</t>
  </si>
  <si>
    <t>1 ком.</t>
  </si>
  <si>
    <t>2 комн.</t>
  </si>
  <si>
    <t>3 комн</t>
  </si>
  <si>
    <t>4 комн</t>
  </si>
  <si>
    <t>6 комн</t>
  </si>
  <si>
    <t>к-во</t>
  </si>
  <si>
    <t>S</t>
  </si>
  <si>
    <t>Зеленый берег 1</t>
  </si>
  <si>
    <t xml:space="preserve"> Зеленая 3</t>
  </si>
  <si>
    <t>Зеленая 4</t>
  </si>
  <si>
    <t>Зеленая 5</t>
  </si>
  <si>
    <t>Кедровая 4</t>
  </si>
  <si>
    <t>Сибирская 2</t>
  </si>
  <si>
    <t>Сибирская 6</t>
  </si>
  <si>
    <t>Сибирская 8</t>
  </si>
  <si>
    <t>ИТОГО</t>
  </si>
  <si>
    <t>Зеленый берег 2</t>
  </si>
  <si>
    <t>Сибирская 10</t>
  </si>
  <si>
    <t>Сибирская 14</t>
  </si>
  <si>
    <t>Сибирская 16</t>
  </si>
  <si>
    <t>Зеленая 8</t>
  </si>
  <si>
    <t>Зеленая 10</t>
  </si>
  <si>
    <t>Зеленая 11</t>
  </si>
  <si>
    <t>Зеленая 12</t>
  </si>
  <si>
    <t>Зеленая 14</t>
  </si>
  <si>
    <t>Зеленая 17</t>
  </si>
  <si>
    <t>Зеленая 19</t>
  </si>
  <si>
    <t>Снежная 1</t>
  </si>
  <si>
    <t>Снежная 3</t>
  </si>
  <si>
    <t>Снежная 5</t>
  </si>
  <si>
    <t>Снежная 7</t>
  </si>
  <si>
    <t>Снежная 9</t>
  </si>
  <si>
    <t>Снежная 12</t>
  </si>
  <si>
    <t xml:space="preserve">Березовая 5 </t>
  </si>
  <si>
    <t xml:space="preserve">              Реестр домов переданных на обслуживание ООО УКП «Перспектива» в 2011 году</t>
  </si>
  <si>
    <t> адрес</t>
  </si>
  <si>
    <t>цоколь</t>
  </si>
  <si>
    <t> 1</t>
  </si>
  <si>
    <t>Снежная, 4</t>
  </si>
  <si>
    <t>Снежная, 6</t>
  </si>
  <si>
    <t xml:space="preserve"> Снежная, 6 а</t>
  </si>
  <si>
    <t xml:space="preserve"> Снежная, 8</t>
  </si>
  <si>
    <t xml:space="preserve"> Багратиона 50/1</t>
  </si>
  <si>
    <t xml:space="preserve"> Багратиона 50/2</t>
  </si>
  <si>
    <t xml:space="preserve"> Багратиона 50/3</t>
  </si>
  <si>
    <t xml:space="preserve"> Багратиона 50/4</t>
  </si>
  <si>
    <t>Багратиона 50/5</t>
  </si>
  <si>
    <t xml:space="preserve"> Багратиона 50/6</t>
  </si>
  <si>
    <t xml:space="preserve"> Багратиона 50/7</t>
  </si>
  <si>
    <t>снежная 8</t>
  </si>
  <si>
    <t>руб.</t>
  </si>
  <si>
    <t xml:space="preserve"> руб.</t>
  </si>
  <si>
    <t>Составление энергопаспорта</t>
  </si>
  <si>
    <t>Трубопровод (розлив-утепление)</t>
  </si>
  <si>
    <t>Запланировано по статье "благоустройство придомовой территории"</t>
  </si>
  <si>
    <t>ямочный ремонт дорог</t>
  </si>
  <si>
    <t>ремонт (закупформ) детских площадок</t>
  </si>
  <si>
    <t>изготовление ограждающих конструкций</t>
  </si>
  <si>
    <t>составление энергопаспорта</t>
  </si>
  <si>
    <t>вводной кабель</t>
  </si>
  <si>
    <t>подъездное освещение</t>
  </si>
  <si>
    <t>всего затрат</t>
  </si>
  <si>
    <t>благоустройство территории</t>
  </si>
  <si>
    <t>установка железной двери</t>
  </si>
  <si>
    <t>составление энергопаспрта</t>
  </si>
  <si>
    <t>клумбы</t>
  </si>
  <si>
    <t>срставление энергопаспорта</t>
  </si>
  <si>
    <t>Подъездное освещение</t>
  </si>
  <si>
    <t>изготовление ограждений</t>
  </si>
  <si>
    <t>ограждение клумб</t>
  </si>
  <si>
    <t>освещение придомовой территории</t>
  </si>
  <si>
    <t>теплоизоляция розлива</t>
  </si>
  <si>
    <t>изготовление ограждений клумб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</si>
</sst>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8"/>
      <color theme="10"/>
      <name val="Arial"/>
      <family val="2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>
      <alignment horizontal="left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1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/>
      <protection hidden="1"/>
    </xf>
    <xf numFmtId="4" fontId="4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 indent="2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4" fontId="1" fillId="2" borderId="1" xfId="0" applyNumberFormat="1" applyFont="1" applyFill="1" applyBorder="1" applyAlignment="1" applyProtection="1">
      <alignment vertical="center"/>
      <protection hidden="1"/>
    </xf>
    <xf numFmtId="4" fontId="4" fillId="2" borderId="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left" wrapText="1" indent="2"/>
      <protection hidden="1"/>
    </xf>
    <xf numFmtId="0" fontId="1" fillId="0" borderId="0" xfId="0" applyFont="1" applyAlignment="1">
      <alignment horizontal="center"/>
    </xf>
    <xf numFmtId="4" fontId="1" fillId="2" borderId="1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0" fontId="15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7" xfId="0" applyFont="1" applyBorder="1"/>
    <xf numFmtId="0" fontId="17" fillId="0" borderId="17" xfId="0" applyFont="1" applyBorder="1" applyAlignment="1">
      <alignment horizontal="center"/>
    </xf>
    <xf numFmtId="0" fontId="18" fillId="2" borderId="0" xfId="1" applyFont="1" applyFill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left"/>
      <protection hidden="1"/>
    </xf>
    <xf numFmtId="4" fontId="19" fillId="0" borderId="1" xfId="0" applyNumberFormat="1" applyFont="1" applyBorder="1" applyAlignment="1" applyProtection="1">
      <alignment horizontal="center"/>
      <protection hidden="1"/>
    </xf>
    <xf numFmtId="4" fontId="19" fillId="2" borderId="1" xfId="0" applyNumberFormat="1" applyFont="1" applyFill="1" applyBorder="1" applyAlignment="1" applyProtection="1">
      <alignment vertical="center"/>
      <protection hidden="1"/>
    </xf>
    <xf numFmtId="4" fontId="20" fillId="2" borderId="1" xfId="0" applyNumberFormat="1" applyFont="1" applyFill="1" applyBorder="1" applyAlignment="1" applyProtection="1">
      <alignment vertical="center"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4" fontId="20" fillId="0" borderId="1" xfId="0" applyNumberFormat="1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left"/>
      <protection hidden="1"/>
    </xf>
    <xf numFmtId="4" fontId="20" fillId="2" borderId="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 applyProtection="1">
      <alignment horizontal="left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 hidden="1"/>
    </xf>
    <xf numFmtId="0" fontId="20" fillId="0" borderId="2" xfId="0" applyFont="1" applyBorder="1" applyAlignment="1" applyProtection="1">
      <alignment horizontal="center"/>
      <protection hidden="1"/>
    </xf>
    <xf numFmtId="0" fontId="20" fillId="0" borderId="3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wrapText="1"/>
      <protection hidden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7" fillId="0" borderId="2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17" fillId="4" borderId="2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0" fillId="0" borderId="22" xfId="0" applyBorder="1"/>
    <xf numFmtId="0" fontId="0" fillId="0" borderId="0" xfId="0"/>
    <xf numFmtId="0" fontId="16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&#1075;&#1086;&#1076;&#1086;&#1074;&#1086;&#1081;%20&#1087;&#1083;&#1072;&#1085;%20&#1088;&#1072;&#1073;&#1086;&#1090;%20&#1087;&#1086;%20&#1089;&#1086;&#1076;&#1077;&#1088;&#1078;&#1072;&#1085;&#1080;&#1102;%20&#1080;%20&#1088;&#1077;&#1084;&#1086;&#1085;&#1090;&#1091;%20VR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"/>
      <sheetName val="28.11"/>
      <sheetName val="28.12"/>
      <sheetName val="28,13"/>
      <sheetName val="132 г"/>
      <sheetName val="132 в"/>
      <sheetName val="132 б"/>
      <sheetName val="154"/>
      <sheetName val="152"/>
      <sheetName val="142 а"/>
      <sheetName val="142 б"/>
      <sheetName val="158"/>
      <sheetName val="160"/>
      <sheetName val="162"/>
      <sheetName val="164"/>
      <sheetName val="166"/>
      <sheetName val="168"/>
      <sheetName val="170"/>
      <sheetName val="172"/>
      <sheetName val="174"/>
      <sheetName val="178"/>
      <sheetName val="180"/>
      <sheetName val="182"/>
      <sheetName val="184"/>
      <sheetName val="тариф"/>
      <sheetName val="площад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6">
          <cell r="D16">
            <v>1365.6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opLeftCell="A25" workbookViewId="0">
      <selection activeCell="A39" sqref="A39:D4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 ht="30" customHeight="1">
      <c r="A1" s="65" t="s">
        <v>0</v>
      </c>
      <c r="B1" s="65"/>
      <c r="C1" s="65"/>
      <c r="D1" s="65"/>
    </row>
    <row r="2" spans="1:4">
      <c r="A2" s="1"/>
      <c r="B2" s="1"/>
      <c r="C2" s="7"/>
      <c r="D2" s="7"/>
    </row>
    <row r="3" spans="1:4">
      <c r="A3" s="8" t="s">
        <v>1</v>
      </c>
      <c r="B3" s="8" t="s">
        <v>2</v>
      </c>
      <c r="C3" s="8" t="s">
        <v>3</v>
      </c>
      <c r="D3" s="8" t="s">
        <v>4</v>
      </c>
    </row>
    <row r="4" spans="1:4">
      <c r="A4" s="9"/>
      <c r="B4" s="10" t="s">
        <v>5</v>
      </c>
      <c r="C4" s="14" t="s">
        <v>133</v>
      </c>
      <c r="D4" s="11">
        <f>D5+D6+D7</f>
        <v>1085161.8600000001</v>
      </c>
    </row>
    <row r="5" spans="1:4">
      <c r="A5" s="9"/>
      <c r="B5" s="12" t="s">
        <v>6</v>
      </c>
      <c r="C5" s="14" t="s">
        <v>133</v>
      </c>
      <c r="D5" s="13">
        <f>12*10.64*5714.1</f>
        <v>729576.28800000006</v>
      </c>
    </row>
    <row r="6" spans="1:4">
      <c r="A6" s="9"/>
      <c r="B6" s="12" t="s">
        <v>7</v>
      </c>
      <c r="C6" s="14" t="s">
        <v>133</v>
      </c>
      <c r="D6" s="13">
        <f>12*3.91*5714.1</f>
        <v>268105.57200000004</v>
      </c>
    </row>
    <row r="7" spans="1:4" ht="24">
      <c r="A7" s="9"/>
      <c r="B7" s="19" t="s">
        <v>51</v>
      </c>
      <c r="C7" s="14" t="s">
        <v>133</v>
      </c>
      <c r="D7" s="13">
        <f>12*135*54</f>
        <v>87480</v>
      </c>
    </row>
    <row r="8" spans="1:4">
      <c r="A8" s="9"/>
      <c r="B8" s="9"/>
      <c r="C8" s="14"/>
      <c r="D8" s="14"/>
    </row>
    <row r="9" spans="1:4">
      <c r="A9" s="9"/>
      <c r="B9" s="66" t="s">
        <v>8</v>
      </c>
      <c r="C9" s="67"/>
      <c r="D9" s="68"/>
    </row>
    <row r="10" spans="1:4">
      <c r="A10" s="9"/>
      <c r="B10" s="15" t="s">
        <v>9</v>
      </c>
      <c r="C10" s="14" t="s">
        <v>133</v>
      </c>
      <c r="D10" s="13">
        <f>12*1.93*5714.1</f>
        <v>132338.55600000001</v>
      </c>
    </row>
    <row r="11" spans="1:4">
      <c r="A11" s="9"/>
      <c r="B11" s="15" t="s">
        <v>10</v>
      </c>
      <c r="C11" s="14" t="s">
        <v>133</v>
      </c>
      <c r="D11" s="13">
        <f>12*1.55*5714.1</f>
        <v>106282.26000000001</v>
      </c>
    </row>
    <row r="12" spans="1:4">
      <c r="A12" s="9"/>
      <c r="B12" s="15" t="s">
        <v>11</v>
      </c>
      <c r="C12" s="14" t="s">
        <v>133</v>
      </c>
      <c r="D12" s="13">
        <v>0</v>
      </c>
    </row>
    <row r="13" spans="1:4">
      <c r="A13" s="9"/>
      <c r="B13" s="15" t="s">
        <v>12</v>
      </c>
      <c r="C13" s="14" t="s">
        <v>133</v>
      </c>
      <c r="D13" s="13">
        <f>12*1.65*5714.1</f>
        <v>113139.18</v>
      </c>
    </row>
    <row r="14" spans="1:4">
      <c r="A14" s="9"/>
      <c r="B14" s="15" t="s">
        <v>13</v>
      </c>
      <c r="C14" s="14" t="s">
        <v>133</v>
      </c>
      <c r="D14" s="13">
        <v>0</v>
      </c>
    </row>
    <row r="15" spans="1:4">
      <c r="A15" s="9"/>
      <c r="B15" s="15" t="s">
        <v>14</v>
      </c>
      <c r="C15" s="14" t="s">
        <v>133</v>
      </c>
      <c r="D15" s="13">
        <v>0</v>
      </c>
    </row>
    <row r="16" spans="1:4">
      <c r="A16" s="9"/>
      <c r="B16" s="15" t="s">
        <v>15</v>
      </c>
      <c r="C16" s="14" t="s">
        <v>133</v>
      </c>
      <c r="D16" s="13">
        <f>12*0.78*5714.1</f>
        <v>53483.976000000002</v>
      </c>
    </row>
    <row r="17" spans="1:4">
      <c r="A17" s="9"/>
      <c r="B17" s="15" t="s">
        <v>16</v>
      </c>
      <c r="C17" s="14" t="s">
        <v>133</v>
      </c>
      <c r="D17" s="13">
        <f>12*1.36*5714.1</f>
        <v>93254.112000000008</v>
      </c>
    </row>
    <row r="18" spans="1:4">
      <c r="A18" s="9"/>
      <c r="B18" s="15" t="s">
        <v>17</v>
      </c>
      <c r="C18" s="14" t="s">
        <v>133</v>
      </c>
      <c r="D18" s="13">
        <f>12*0.85*5714.1</f>
        <v>58283.82</v>
      </c>
    </row>
    <row r="19" spans="1:4">
      <c r="A19" s="9"/>
      <c r="B19" s="15" t="s">
        <v>18</v>
      </c>
      <c r="C19" s="14" t="s">
        <v>133</v>
      </c>
      <c r="D19" s="13">
        <f>12*2.49*5714.1</f>
        <v>170737.30800000002</v>
      </c>
    </row>
    <row r="20" spans="1:4">
      <c r="A20" s="9"/>
      <c r="B20" s="15" t="s">
        <v>19</v>
      </c>
      <c r="C20" s="14" t="s">
        <v>133</v>
      </c>
      <c r="D20" s="13">
        <f>12*0.029*5714.1</f>
        <v>1988.5068000000003</v>
      </c>
    </row>
    <row r="21" spans="1:4">
      <c r="A21" s="9"/>
      <c r="B21" s="15" t="s">
        <v>135</v>
      </c>
      <c r="C21" s="14" t="s">
        <v>133</v>
      </c>
      <c r="D21" s="13">
        <v>10000</v>
      </c>
    </row>
    <row r="22" spans="1:4">
      <c r="A22" s="9"/>
      <c r="B22" s="16" t="s">
        <v>20</v>
      </c>
      <c r="C22" s="14" t="s">
        <v>133</v>
      </c>
      <c r="D22" s="11">
        <f>D20+D19+D18+D17+D16+D15+D14+D13+D12+D11+D10+D43+D21</f>
        <v>799507.71880000003</v>
      </c>
    </row>
    <row r="23" spans="1:4">
      <c r="A23" s="9"/>
      <c r="B23" s="10" t="s">
        <v>21</v>
      </c>
      <c r="C23" s="14" t="s">
        <v>133</v>
      </c>
      <c r="D23" s="11">
        <f>D5-D22</f>
        <v>-69931.430799999973</v>
      </c>
    </row>
    <row r="24" spans="1:4">
      <c r="A24" s="9"/>
      <c r="B24" s="66" t="s">
        <v>22</v>
      </c>
      <c r="C24" s="67"/>
      <c r="D24" s="68"/>
    </row>
    <row r="25" spans="1:4">
      <c r="A25" s="9"/>
      <c r="B25" s="10" t="s">
        <v>23</v>
      </c>
      <c r="C25" s="14" t="s">
        <v>133</v>
      </c>
      <c r="D25" s="11"/>
    </row>
    <row r="26" spans="1:4">
      <c r="A26" s="9"/>
      <c r="B26" s="12" t="s">
        <v>24</v>
      </c>
      <c r="C26" s="14" t="s">
        <v>133</v>
      </c>
      <c r="D26" s="13">
        <v>8000</v>
      </c>
    </row>
    <row r="27" spans="1:4">
      <c r="A27" s="9"/>
      <c r="B27" s="12" t="s">
        <v>25</v>
      </c>
      <c r="C27" s="14" t="s">
        <v>133</v>
      </c>
      <c r="D27" s="13">
        <v>5000</v>
      </c>
    </row>
    <row r="28" spans="1:4">
      <c r="A28" s="9"/>
      <c r="B28" s="12" t="s">
        <v>26</v>
      </c>
      <c r="C28" s="14" t="s">
        <v>133</v>
      </c>
      <c r="D28" s="13">
        <v>5000</v>
      </c>
    </row>
    <row r="29" spans="1:4">
      <c r="A29" s="9"/>
      <c r="B29" s="12" t="s">
        <v>30</v>
      </c>
      <c r="C29" s="14" t="s">
        <v>133</v>
      </c>
      <c r="D29" s="13">
        <v>7000</v>
      </c>
    </row>
    <row r="30" spans="1:4">
      <c r="A30" s="9"/>
      <c r="B30" s="12" t="s">
        <v>31</v>
      </c>
      <c r="C30" s="14" t="s">
        <v>133</v>
      </c>
      <c r="D30" s="13">
        <v>4000</v>
      </c>
    </row>
    <row r="31" spans="1:4">
      <c r="A31" s="9"/>
      <c r="B31" s="12" t="s">
        <v>38</v>
      </c>
      <c r="C31" s="14" t="s">
        <v>133</v>
      </c>
      <c r="D31" s="13">
        <v>7400</v>
      </c>
    </row>
    <row r="32" spans="1:4">
      <c r="A32" s="9"/>
      <c r="B32" s="12" t="s">
        <v>42</v>
      </c>
      <c r="C32" s="14" t="s">
        <v>133</v>
      </c>
      <c r="D32" s="13">
        <v>88000</v>
      </c>
    </row>
    <row r="33" spans="1:4">
      <c r="A33" s="9"/>
      <c r="B33" s="12" t="s">
        <v>43</v>
      </c>
      <c r="C33" s="14" t="s">
        <v>133</v>
      </c>
      <c r="D33" s="13">
        <v>70000</v>
      </c>
    </row>
    <row r="34" spans="1:4">
      <c r="A34" s="9"/>
      <c r="B34" s="12" t="s">
        <v>136</v>
      </c>
      <c r="C34" s="14" t="s">
        <v>133</v>
      </c>
      <c r="D34" s="13">
        <v>112000</v>
      </c>
    </row>
    <row r="35" spans="1:4">
      <c r="A35" s="9"/>
      <c r="B35" s="12" t="s">
        <v>48</v>
      </c>
      <c r="C35" s="14" t="s">
        <v>133</v>
      </c>
      <c r="D35" s="13">
        <v>5000</v>
      </c>
    </row>
    <row r="36" spans="1:4">
      <c r="A36" s="9"/>
      <c r="B36" s="12" t="s">
        <v>49</v>
      </c>
      <c r="C36" s="14" t="s">
        <v>133</v>
      </c>
      <c r="D36" s="13">
        <v>3500</v>
      </c>
    </row>
    <row r="37" spans="1:4">
      <c r="A37" s="9"/>
      <c r="B37" s="16" t="s">
        <v>20</v>
      </c>
      <c r="C37" s="14" t="s">
        <v>133</v>
      </c>
      <c r="D37" s="11">
        <f>D36+D35+D34+D33+D32+D31+D30+D29+D28+D27+D26</f>
        <v>314900</v>
      </c>
    </row>
    <row r="38" spans="1:4">
      <c r="A38" s="9"/>
      <c r="B38" s="10" t="s">
        <v>21</v>
      </c>
      <c r="C38" s="14" t="s">
        <v>133</v>
      </c>
      <c r="D38" s="60">
        <f>D6-D37</f>
        <v>-46794.427999999956</v>
      </c>
    </row>
    <row r="39" spans="1:4">
      <c r="A39" s="9"/>
      <c r="B39" s="66" t="s">
        <v>137</v>
      </c>
      <c r="C39" s="67"/>
      <c r="D39" s="68"/>
    </row>
    <row r="40" spans="1:4">
      <c r="A40" s="9"/>
      <c r="B40" s="61" t="s">
        <v>138</v>
      </c>
      <c r="C40" s="14" t="s">
        <v>133</v>
      </c>
      <c r="D40" s="62">
        <v>40000</v>
      </c>
    </row>
    <row r="41" spans="1:4">
      <c r="A41" s="9"/>
      <c r="B41" s="61" t="s">
        <v>139</v>
      </c>
      <c r="C41" s="14" t="s">
        <v>133</v>
      </c>
      <c r="D41" s="62">
        <v>10000</v>
      </c>
    </row>
    <row r="42" spans="1:4">
      <c r="A42" s="9"/>
      <c r="B42" s="61" t="s">
        <v>140</v>
      </c>
      <c r="C42" s="14" t="s">
        <v>133</v>
      </c>
      <c r="D42" s="62">
        <v>10000</v>
      </c>
    </row>
    <row r="43" spans="1:4">
      <c r="A43" s="9"/>
      <c r="B43" s="16" t="s">
        <v>20</v>
      </c>
      <c r="C43" s="14" t="s">
        <v>133</v>
      </c>
      <c r="D43" s="11">
        <f>D41+D40+D42</f>
        <v>60000</v>
      </c>
    </row>
    <row r="44" spans="1:4">
      <c r="A44" s="59"/>
      <c r="B44" s="10" t="s">
        <v>21</v>
      </c>
      <c r="C44" s="14" t="s">
        <v>133</v>
      </c>
      <c r="D44" s="60">
        <f>D7-D43</f>
        <v>27480</v>
      </c>
    </row>
  </sheetData>
  <mergeCells count="4">
    <mergeCell ref="A1:D1"/>
    <mergeCell ref="B9:D9"/>
    <mergeCell ref="B24:D24"/>
    <mergeCell ref="B39:D39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topLeftCell="A22" workbookViewId="0">
      <selection activeCell="A39" sqref="A39:D4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/>
      <c r="B8" s="10" t="s">
        <v>5</v>
      </c>
      <c r="C8" s="14" t="s">
        <v>134</v>
      </c>
      <c r="D8" s="11">
        <f>D9+D10+D11</f>
        <v>575828.64</v>
      </c>
    </row>
    <row r="9" spans="1:4">
      <c r="A9" s="9"/>
      <c r="B9" s="12" t="s">
        <v>6</v>
      </c>
      <c r="C9" s="14" t="s">
        <v>134</v>
      </c>
      <c r="D9" s="13">
        <f>12*10.64*2778.4</f>
        <v>354746.11200000002</v>
      </c>
    </row>
    <row r="10" spans="1:4">
      <c r="A10" s="9"/>
      <c r="B10" s="12" t="s">
        <v>7</v>
      </c>
      <c r="C10" s="14" t="s">
        <v>134</v>
      </c>
      <c r="D10" s="13">
        <f>12*3.91*2778.4</f>
        <v>130362.52800000001</v>
      </c>
    </row>
    <row r="11" spans="1:4" ht="24">
      <c r="A11" s="9"/>
      <c r="B11" s="19" t="s">
        <v>51</v>
      </c>
      <c r="C11" s="14" t="s">
        <v>134</v>
      </c>
      <c r="D11" s="13">
        <f>12*135*56</f>
        <v>90720</v>
      </c>
    </row>
    <row r="12" spans="1:4">
      <c r="A12" s="9"/>
      <c r="B12" s="9"/>
      <c r="C12" s="14"/>
      <c r="D12" s="14"/>
    </row>
    <row r="13" spans="1:4">
      <c r="A13" s="9"/>
      <c r="B13" s="69" t="s">
        <v>8</v>
      </c>
      <c r="C13" s="70"/>
      <c r="D13" s="71"/>
    </row>
    <row r="14" spans="1:4">
      <c r="A14" s="9"/>
      <c r="B14" s="15" t="s">
        <v>9</v>
      </c>
      <c r="C14" s="14" t="s">
        <v>134</v>
      </c>
      <c r="D14" s="13">
        <f>12*1.93*2778.4</f>
        <v>64347.744000000006</v>
      </c>
    </row>
    <row r="15" spans="1:4">
      <c r="A15" s="9"/>
      <c r="B15" s="15" t="s">
        <v>10</v>
      </c>
      <c r="C15" s="14" t="s">
        <v>134</v>
      </c>
      <c r="D15" s="13">
        <f>12*1.55*2778.4</f>
        <v>51678.240000000005</v>
      </c>
    </row>
    <row r="16" spans="1:4">
      <c r="A16" s="9"/>
      <c r="B16" s="15" t="s">
        <v>12</v>
      </c>
      <c r="C16" s="14" t="s">
        <v>134</v>
      </c>
      <c r="D16" s="13">
        <f>12*1.65*2778.4</f>
        <v>55012.319999999992</v>
      </c>
    </row>
    <row r="17" spans="1:4">
      <c r="A17" s="9"/>
      <c r="B17" s="15" t="s">
        <v>15</v>
      </c>
      <c r="C17" s="14" t="s">
        <v>134</v>
      </c>
      <c r="D17" s="13">
        <f>12*0.78*2778.4</f>
        <v>26005.824000000001</v>
      </c>
    </row>
    <row r="18" spans="1:4">
      <c r="A18" s="9"/>
      <c r="B18" s="15" t="s">
        <v>16</v>
      </c>
      <c r="C18" s="14" t="s">
        <v>134</v>
      </c>
      <c r="D18" s="13">
        <f>12*1.36*2778.4</f>
        <v>45343.488000000005</v>
      </c>
    </row>
    <row r="19" spans="1:4">
      <c r="A19" s="9"/>
      <c r="B19" s="15" t="s">
        <v>17</v>
      </c>
      <c r="C19" s="14" t="s">
        <v>134</v>
      </c>
      <c r="D19" s="13">
        <f>12*0.85*2778.4</f>
        <v>28339.68</v>
      </c>
    </row>
    <row r="20" spans="1:4">
      <c r="A20" s="9"/>
      <c r="B20" s="15" t="s">
        <v>18</v>
      </c>
      <c r="C20" s="14" t="s">
        <v>134</v>
      </c>
      <c r="D20" s="13">
        <f>12*2.49*2778.4</f>
        <v>83018.592000000004</v>
      </c>
    </row>
    <row r="21" spans="1:4">
      <c r="A21" s="9"/>
      <c r="B21" s="15" t="s">
        <v>19</v>
      </c>
      <c r="C21" s="14" t="s">
        <v>134</v>
      </c>
      <c r="D21" s="13">
        <f>12*0.029*2778.4</f>
        <v>966.8832000000001</v>
      </c>
    </row>
    <row r="22" spans="1:4">
      <c r="A22" s="9"/>
      <c r="B22" s="19" t="s">
        <v>141</v>
      </c>
      <c r="C22" s="14" t="s">
        <v>134</v>
      </c>
      <c r="D22" s="13">
        <v>10000</v>
      </c>
    </row>
    <row r="23" spans="1:4">
      <c r="A23" s="9"/>
      <c r="B23" s="16" t="s">
        <v>20</v>
      </c>
      <c r="C23" s="14" t="s">
        <v>134</v>
      </c>
      <c r="D23" s="11">
        <f>D22+D21+D20+D19+D18+D17+D16+D15+D14</f>
        <v>364712.77120000002</v>
      </c>
    </row>
    <row r="24" spans="1:4">
      <c r="A24" s="9"/>
      <c r="B24" s="10" t="s">
        <v>21</v>
      </c>
      <c r="C24" s="14" t="s">
        <v>134</v>
      </c>
      <c r="D24" s="11">
        <f>D9-D23</f>
        <v>-9966.6591999999946</v>
      </c>
    </row>
    <row r="25" spans="1:4">
      <c r="A25" s="9"/>
      <c r="B25" s="69" t="s">
        <v>22</v>
      </c>
      <c r="C25" s="70"/>
      <c r="D25" s="71"/>
    </row>
    <row r="26" spans="1:4">
      <c r="A26" s="9"/>
      <c r="B26" s="10" t="s">
        <v>23</v>
      </c>
      <c r="C26" s="14"/>
      <c r="D26" s="11"/>
    </row>
    <row r="27" spans="1:4">
      <c r="A27" s="9"/>
      <c r="B27" s="12" t="s">
        <v>24</v>
      </c>
      <c r="C27" s="14" t="s">
        <v>134</v>
      </c>
      <c r="D27" s="13">
        <v>2000</v>
      </c>
    </row>
    <row r="28" spans="1:4">
      <c r="A28" s="9"/>
      <c r="B28" s="12" t="s">
        <v>26</v>
      </c>
      <c r="C28" s="14" t="s">
        <v>134</v>
      </c>
      <c r="D28" s="13">
        <v>4000</v>
      </c>
    </row>
    <row r="29" spans="1:4">
      <c r="A29" s="9"/>
      <c r="B29" s="12" t="s">
        <v>32</v>
      </c>
      <c r="C29" s="14" t="s">
        <v>134</v>
      </c>
      <c r="D29" s="13">
        <v>1000</v>
      </c>
    </row>
    <row r="30" spans="1:4">
      <c r="A30" s="9"/>
      <c r="B30" s="12" t="s">
        <v>36</v>
      </c>
      <c r="C30" s="14" t="s">
        <v>134</v>
      </c>
      <c r="D30" s="13">
        <v>35000</v>
      </c>
    </row>
    <row r="31" spans="1:4">
      <c r="A31" s="9"/>
      <c r="B31" s="12" t="s">
        <v>38</v>
      </c>
      <c r="C31" s="14" t="s">
        <v>134</v>
      </c>
      <c r="D31" s="13">
        <v>6000</v>
      </c>
    </row>
    <row r="32" spans="1:4">
      <c r="A32" s="9"/>
      <c r="B32" s="12" t="s">
        <v>39</v>
      </c>
      <c r="C32" s="14" t="s">
        <v>134</v>
      </c>
      <c r="D32" s="13">
        <v>1500</v>
      </c>
    </row>
    <row r="33" spans="1:4">
      <c r="A33" s="9"/>
      <c r="B33" s="12" t="s">
        <v>40</v>
      </c>
      <c r="C33" s="14" t="s">
        <v>134</v>
      </c>
      <c r="D33" s="13">
        <v>2000</v>
      </c>
    </row>
    <row r="34" spans="1:4">
      <c r="A34" s="9"/>
      <c r="B34" s="12" t="s">
        <v>44</v>
      </c>
      <c r="C34" s="14" t="s">
        <v>134</v>
      </c>
      <c r="D34" s="13">
        <v>56000</v>
      </c>
    </row>
    <row r="35" spans="1:4">
      <c r="A35" s="9"/>
      <c r="B35" s="12" t="s">
        <v>46</v>
      </c>
      <c r="C35" s="14" t="s">
        <v>134</v>
      </c>
      <c r="D35" s="13">
        <v>15000</v>
      </c>
    </row>
    <row r="36" spans="1:4">
      <c r="A36" s="9"/>
      <c r="B36" s="12" t="s">
        <v>47</v>
      </c>
      <c r="C36" s="14" t="s">
        <v>134</v>
      </c>
      <c r="D36" s="13">
        <v>5000</v>
      </c>
    </row>
    <row r="37" spans="1:4">
      <c r="A37" s="9"/>
      <c r="B37" s="10" t="s">
        <v>144</v>
      </c>
      <c r="C37" s="14" t="s">
        <v>134</v>
      </c>
      <c r="D37" s="52">
        <f>D36+D35+D34+D33+D32+D31+D30+D29+D28+D27</f>
        <v>127500</v>
      </c>
    </row>
    <row r="38" spans="1:4">
      <c r="A38" s="9"/>
      <c r="B38" s="10" t="s">
        <v>21</v>
      </c>
      <c r="C38" s="14" t="s">
        <v>134</v>
      </c>
      <c r="D38" s="11">
        <f>D10-D37</f>
        <v>2862.5280000000057</v>
      </c>
    </row>
    <row r="39" spans="1:4">
      <c r="A39" s="59"/>
      <c r="B39" s="72" t="s">
        <v>137</v>
      </c>
      <c r="C39" s="72"/>
      <c r="D39" s="72"/>
    </row>
    <row r="40" spans="1:4">
      <c r="A40" s="59"/>
      <c r="B40" s="9" t="s">
        <v>138</v>
      </c>
      <c r="C40" s="14" t="s">
        <v>133</v>
      </c>
      <c r="D40" s="63">
        <v>15000</v>
      </c>
    </row>
    <row r="41" spans="1:4">
      <c r="A41" s="59"/>
      <c r="B41" s="9" t="s">
        <v>139</v>
      </c>
      <c r="C41" s="14" t="s">
        <v>133</v>
      </c>
      <c r="D41" s="63">
        <v>5000</v>
      </c>
    </row>
    <row r="42" spans="1:4">
      <c r="A42" s="59"/>
      <c r="B42" s="9" t="s">
        <v>145</v>
      </c>
      <c r="C42" s="14" t="s">
        <v>133</v>
      </c>
      <c r="D42" s="63">
        <v>5000</v>
      </c>
    </row>
    <row r="43" spans="1:4">
      <c r="A43" s="59"/>
      <c r="B43" s="16" t="s">
        <v>20</v>
      </c>
      <c r="C43" s="14" t="s">
        <v>133</v>
      </c>
      <c r="D43" s="11">
        <f>D42+D41+D40</f>
        <v>25000</v>
      </c>
    </row>
    <row r="44" spans="1:4">
      <c r="A44" s="59"/>
      <c r="B44" s="10" t="s">
        <v>21</v>
      </c>
      <c r="C44" s="14" t="s">
        <v>133</v>
      </c>
      <c r="D44" s="60">
        <f>D11-D43</f>
        <v>65720</v>
      </c>
    </row>
  </sheetData>
  <mergeCells count="6">
    <mergeCell ref="B39:D39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topLeftCell="A16" workbookViewId="0">
      <selection activeCell="F40" sqref="F40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475293.95999999996</v>
      </c>
    </row>
    <row r="9" spans="1:4">
      <c r="A9" s="9">
        <v>2</v>
      </c>
      <c r="B9" s="12" t="s">
        <v>6</v>
      </c>
      <c r="C9" s="14" t="s">
        <v>133</v>
      </c>
      <c r="D9" s="13">
        <f>12*10.64*2202.6</f>
        <v>281227.96799999999</v>
      </c>
    </row>
    <row r="10" spans="1:4">
      <c r="A10" s="9">
        <v>3</v>
      </c>
      <c r="B10" s="12" t="s">
        <v>7</v>
      </c>
      <c r="C10" s="14" t="s">
        <v>133</v>
      </c>
      <c r="D10" s="13">
        <f>12*3.91*2202.6</f>
        <v>103345.992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12*135*56</f>
        <v>90720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12*1.93*2202.6</f>
        <v>51012.216</v>
      </c>
    </row>
    <row r="15" spans="1:4">
      <c r="A15" s="9">
        <v>14</v>
      </c>
      <c r="B15" s="15" t="s">
        <v>10</v>
      </c>
      <c r="C15" s="14" t="s">
        <v>133</v>
      </c>
      <c r="D15" s="13">
        <f>12*1.55*2202.6</f>
        <v>40968.36</v>
      </c>
    </row>
    <row r="16" spans="1:4">
      <c r="A16" s="9">
        <v>16</v>
      </c>
      <c r="B16" s="15" t="s">
        <v>12</v>
      </c>
      <c r="C16" s="14" t="s">
        <v>133</v>
      </c>
      <c r="D16" s="13">
        <f>12*1.65*2202.6</f>
        <v>43611.479999999989</v>
      </c>
    </row>
    <row r="17" spans="1:4">
      <c r="A17" s="9">
        <v>19</v>
      </c>
      <c r="B17" s="15" t="s">
        <v>15</v>
      </c>
      <c r="C17" s="14" t="s">
        <v>133</v>
      </c>
      <c r="D17" s="13">
        <f>12*0.78*2202.6</f>
        <v>20616.335999999999</v>
      </c>
    </row>
    <row r="18" spans="1:4">
      <c r="A18" s="9">
        <v>20</v>
      </c>
      <c r="B18" s="15" t="s">
        <v>16</v>
      </c>
      <c r="C18" s="14" t="s">
        <v>133</v>
      </c>
      <c r="D18" s="13">
        <f>12*1.36*2202.6</f>
        <v>35946.432000000001</v>
      </c>
    </row>
    <row r="19" spans="1:4">
      <c r="A19" s="9">
        <v>21</v>
      </c>
      <c r="B19" s="15" t="s">
        <v>17</v>
      </c>
      <c r="C19" s="14" t="s">
        <v>133</v>
      </c>
      <c r="D19" s="13">
        <f>12*0.85*2202.6</f>
        <v>22466.519999999997</v>
      </c>
    </row>
    <row r="20" spans="1:4">
      <c r="A20" s="9">
        <v>22</v>
      </c>
      <c r="B20" s="15" t="s">
        <v>18</v>
      </c>
      <c r="C20" s="14" t="s">
        <v>133</v>
      </c>
      <c r="D20" s="13">
        <f>12*2.49*2202.6</f>
        <v>65813.688000000009</v>
      </c>
    </row>
    <row r="21" spans="1:4">
      <c r="A21" s="9">
        <v>23</v>
      </c>
      <c r="B21" s="15" t="s">
        <v>19</v>
      </c>
      <c r="C21" s="14" t="s">
        <v>133</v>
      </c>
      <c r="D21" s="13">
        <f>12*0.029*2202.6</f>
        <v>766.50480000000005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291201.5368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-9973.5688000000082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31</v>
      </c>
      <c r="B27" s="12" t="s">
        <v>25</v>
      </c>
      <c r="C27" s="14" t="s">
        <v>133</v>
      </c>
      <c r="D27" s="13">
        <v>2500</v>
      </c>
    </row>
    <row r="28" spans="1:4">
      <c r="A28" s="9">
        <v>32</v>
      </c>
      <c r="B28" s="12" t="s">
        <v>146</v>
      </c>
      <c r="C28" s="14" t="s">
        <v>133</v>
      </c>
      <c r="D28" s="18">
        <v>15000</v>
      </c>
    </row>
    <row r="29" spans="1:4">
      <c r="A29" s="9">
        <v>33</v>
      </c>
      <c r="B29" s="12" t="s">
        <v>26</v>
      </c>
      <c r="C29" s="14" t="s">
        <v>133</v>
      </c>
      <c r="D29" s="13">
        <v>3000</v>
      </c>
    </row>
    <row r="30" spans="1:4">
      <c r="A30" s="9">
        <v>40</v>
      </c>
      <c r="B30" s="12" t="s">
        <v>30</v>
      </c>
      <c r="C30" s="14" t="s">
        <v>133</v>
      </c>
      <c r="D30" s="13">
        <v>3000</v>
      </c>
    </row>
    <row r="31" spans="1:4">
      <c r="A31" s="9">
        <v>63</v>
      </c>
      <c r="B31" s="12" t="s">
        <v>36</v>
      </c>
      <c r="C31" s="14" t="s">
        <v>133</v>
      </c>
      <c r="D31" s="13">
        <v>8000</v>
      </c>
    </row>
    <row r="32" spans="1:4">
      <c r="A32" s="9">
        <v>68</v>
      </c>
      <c r="B32" s="12" t="s">
        <v>38</v>
      </c>
      <c r="C32" s="14" t="s">
        <v>133</v>
      </c>
      <c r="D32" s="13">
        <v>5000</v>
      </c>
    </row>
    <row r="33" spans="1:4">
      <c r="A33" s="9">
        <v>84</v>
      </c>
      <c r="B33" s="12" t="s">
        <v>44</v>
      </c>
      <c r="C33" s="14" t="s">
        <v>133</v>
      </c>
      <c r="D33" s="13">
        <v>56000</v>
      </c>
    </row>
    <row r="34" spans="1:4">
      <c r="A34" s="9">
        <v>96</v>
      </c>
      <c r="B34" s="12" t="s">
        <v>48</v>
      </c>
      <c r="C34" s="14" t="s">
        <v>133</v>
      </c>
      <c r="D34" s="13">
        <v>1000</v>
      </c>
    </row>
    <row r="35" spans="1:4">
      <c r="A35" s="9">
        <v>97</v>
      </c>
      <c r="B35" s="12" t="s">
        <v>49</v>
      </c>
      <c r="C35" s="14" t="s">
        <v>133</v>
      </c>
      <c r="D35" s="13">
        <v>2500</v>
      </c>
    </row>
    <row r="36" spans="1:4">
      <c r="A36" s="9">
        <v>99</v>
      </c>
      <c r="B36" s="64" t="s">
        <v>20</v>
      </c>
      <c r="C36" s="14" t="s">
        <v>133</v>
      </c>
      <c r="D36" s="52">
        <f>D35+D34+D33+D32+D31+D30+D29+D28+D27</f>
        <v>96000</v>
      </c>
    </row>
    <row r="37" spans="1:4">
      <c r="A37" s="9">
        <v>100</v>
      </c>
      <c r="B37" s="10" t="s">
        <v>21</v>
      </c>
      <c r="C37" s="14" t="s">
        <v>133</v>
      </c>
      <c r="D37" s="11">
        <f>D10-D36</f>
        <v>7345.9919999999984</v>
      </c>
    </row>
    <row r="38" spans="1:4">
      <c r="A38" s="59"/>
      <c r="B38" s="72" t="s">
        <v>137</v>
      </c>
      <c r="C38" s="72"/>
      <c r="D38" s="72"/>
    </row>
    <row r="39" spans="1:4">
      <c r="A39" s="59"/>
      <c r="B39" s="9" t="s">
        <v>138</v>
      </c>
      <c r="C39" s="14" t="s">
        <v>133</v>
      </c>
      <c r="D39" s="63">
        <v>20000</v>
      </c>
    </row>
    <row r="40" spans="1:4">
      <c r="A40" s="59"/>
      <c r="B40" s="9" t="s">
        <v>139</v>
      </c>
      <c r="C40" s="14" t="s">
        <v>133</v>
      </c>
      <c r="D40" s="63">
        <v>3000</v>
      </c>
    </row>
    <row r="41" spans="1:4">
      <c r="A41" s="59"/>
      <c r="B41" s="9" t="s">
        <v>151</v>
      </c>
      <c r="C41" s="14" t="s">
        <v>133</v>
      </c>
      <c r="D41" s="63">
        <v>30000</v>
      </c>
    </row>
    <row r="42" spans="1:4">
      <c r="A42" s="59"/>
      <c r="B42" s="9" t="s">
        <v>148</v>
      </c>
      <c r="C42" s="14" t="s">
        <v>133</v>
      </c>
      <c r="D42" s="63">
        <v>10000</v>
      </c>
    </row>
    <row r="43" spans="1:4">
      <c r="A43" s="59"/>
      <c r="B43" s="16" t="s">
        <v>20</v>
      </c>
      <c r="C43" s="14" t="s">
        <v>133</v>
      </c>
      <c r="D43" s="11">
        <f>D40+D39+D41+D42</f>
        <v>63000</v>
      </c>
    </row>
    <row r="44" spans="1:4">
      <c r="A44" s="59"/>
      <c r="B44" s="10" t="s">
        <v>21</v>
      </c>
      <c r="C44" s="14" t="s">
        <v>133</v>
      </c>
      <c r="D44" s="60">
        <f>D11-D43</f>
        <v>27720</v>
      </c>
    </row>
  </sheetData>
  <mergeCells count="6">
    <mergeCell ref="B38:D38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topLeftCell="A25" workbookViewId="0">
      <selection activeCell="A39" sqref="A39:D4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1062373.8600000001</v>
      </c>
    </row>
    <row r="9" spans="1:4">
      <c r="A9" s="9">
        <v>2</v>
      </c>
      <c r="B9" s="12" t="s">
        <v>6</v>
      </c>
      <c r="C9" s="14" t="s">
        <v>133</v>
      </c>
      <c r="D9" s="13">
        <f>12*10.64*4934.1</f>
        <v>629985.88800000004</v>
      </c>
    </row>
    <row r="10" spans="1:4">
      <c r="A10" s="9">
        <v>3</v>
      </c>
      <c r="B10" s="12" t="s">
        <v>7</v>
      </c>
      <c r="C10" s="14" t="s">
        <v>133</v>
      </c>
      <c r="D10" s="13">
        <f>12*3.91*4934.1</f>
        <v>231507.97200000004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12*135*124</f>
        <v>200880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12*1.93*4934.1</f>
        <v>114273.75600000001</v>
      </c>
    </row>
    <row r="15" spans="1:4">
      <c r="A15" s="9">
        <v>14</v>
      </c>
      <c r="B15" s="15" t="s">
        <v>10</v>
      </c>
      <c r="C15" s="14" t="s">
        <v>133</v>
      </c>
      <c r="D15" s="13">
        <f>12*1.55*4934.1</f>
        <v>91774.260000000009</v>
      </c>
    </row>
    <row r="16" spans="1:4">
      <c r="A16" s="9">
        <v>16</v>
      </c>
      <c r="B16" s="15" t="s">
        <v>12</v>
      </c>
      <c r="C16" s="14" t="s">
        <v>133</v>
      </c>
      <c r="D16" s="13">
        <f>12*1.65*4934.1</f>
        <v>97695.18</v>
      </c>
    </row>
    <row r="17" spans="1:4">
      <c r="A17" s="9">
        <v>19</v>
      </c>
      <c r="B17" s="15" t="s">
        <v>15</v>
      </c>
      <c r="C17" s="14" t="s">
        <v>133</v>
      </c>
      <c r="D17" s="13">
        <f>12*0.78*4934.1</f>
        <v>46183.175999999999</v>
      </c>
    </row>
    <row r="18" spans="1:4">
      <c r="A18" s="9">
        <v>20</v>
      </c>
      <c r="B18" s="15" t="s">
        <v>16</v>
      </c>
      <c r="C18" s="14" t="s">
        <v>133</v>
      </c>
      <c r="D18" s="13">
        <f>12*1.36*4934.1</f>
        <v>80524.512000000002</v>
      </c>
    </row>
    <row r="19" spans="1:4">
      <c r="A19" s="9">
        <v>21</v>
      </c>
      <c r="B19" s="15" t="s">
        <v>17</v>
      </c>
      <c r="C19" s="14" t="s">
        <v>133</v>
      </c>
      <c r="D19" s="13">
        <f>12*0.85*4934.1</f>
        <v>50327.82</v>
      </c>
    </row>
    <row r="20" spans="1:4">
      <c r="A20" s="9">
        <v>22</v>
      </c>
      <c r="B20" s="15" t="s">
        <v>18</v>
      </c>
      <c r="C20" s="14" t="s">
        <v>133</v>
      </c>
      <c r="D20" s="13">
        <f>12*2.49*4934.1</f>
        <v>147430.90800000002</v>
      </c>
    </row>
    <row r="21" spans="1:4">
      <c r="A21" s="9">
        <v>23</v>
      </c>
      <c r="B21" s="15" t="s">
        <v>19</v>
      </c>
      <c r="C21" s="14" t="s">
        <v>133</v>
      </c>
      <c r="D21" s="13">
        <f>12*0.029*4934.1</f>
        <v>1717.0668000000003</v>
      </c>
    </row>
    <row r="22" spans="1:4">
      <c r="A22" s="9">
        <v>24</v>
      </c>
      <c r="B22" s="19" t="s">
        <v>147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639926.67880000011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-9940.7908000000753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1000</v>
      </c>
    </row>
    <row r="28" spans="1:4">
      <c r="A28" s="9">
        <v>31</v>
      </c>
      <c r="B28" s="12" t="s">
        <v>25</v>
      </c>
      <c r="C28" s="14" t="s">
        <v>133</v>
      </c>
      <c r="D28" s="13">
        <v>500</v>
      </c>
    </row>
    <row r="29" spans="1:4">
      <c r="A29" s="9">
        <v>33</v>
      </c>
      <c r="B29" s="12" t="s">
        <v>26</v>
      </c>
      <c r="C29" s="14" t="s">
        <v>133</v>
      </c>
      <c r="D29" s="13">
        <v>2500</v>
      </c>
    </row>
    <row r="30" spans="1:4">
      <c r="A30" s="9">
        <v>34</v>
      </c>
      <c r="B30" s="12" t="s">
        <v>27</v>
      </c>
      <c r="C30" s="14" t="s">
        <v>133</v>
      </c>
      <c r="D30" s="13">
        <v>13000</v>
      </c>
    </row>
    <row r="31" spans="1:4">
      <c r="A31" s="9">
        <v>40</v>
      </c>
      <c r="B31" s="12" t="s">
        <v>30</v>
      </c>
      <c r="C31" s="14" t="s">
        <v>133</v>
      </c>
      <c r="D31" s="13">
        <v>2000</v>
      </c>
    </row>
    <row r="32" spans="1:4">
      <c r="A32" s="9">
        <v>43</v>
      </c>
      <c r="B32" s="12" t="s">
        <v>32</v>
      </c>
      <c r="C32" s="14" t="s">
        <v>133</v>
      </c>
      <c r="D32" s="13">
        <v>2000</v>
      </c>
    </row>
    <row r="33" spans="1:4">
      <c r="A33" s="9">
        <v>68</v>
      </c>
      <c r="B33" s="12" t="s">
        <v>38</v>
      </c>
      <c r="C33" s="14" t="s">
        <v>133</v>
      </c>
      <c r="D33" s="13">
        <v>12000</v>
      </c>
    </row>
    <row r="34" spans="1:4">
      <c r="A34" s="9">
        <v>75</v>
      </c>
      <c r="B34" s="12" t="s">
        <v>41</v>
      </c>
      <c r="C34" s="14" t="s">
        <v>133</v>
      </c>
      <c r="D34" s="13">
        <v>1500</v>
      </c>
    </row>
    <row r="35" spans="1:4">
      <c r="A35" s="9">
        <v>84</v>
      </c>
      <c r="B35" s="12" t="s">
        <v>44</v>
      </c>
      <c r="C35" s="14" t="s">
        <v>133</v>
      </c>
      <c r="D35" s="13">
        <v>130000</v>
      </c>
    </row>
    <row r="36" spans="1:4">
      <c r="A36" s="9">
        <v>88</v>
      </c>
      <c r="B36" s="12" t="s">
        <v>46</v>
      </c>
      <c r="C36" s="14" t="s">
        <v>133</v>
      </c>
      <c r="D36" s="13">
        <v>15000</v>
      </c>
    </row>
    <row r="37" spans="1:4">
      <c r="A37" s="9">
        <v>99</v>
      </c>
      <c r="B37" s="16" t="s">
        <v>20</v>
      </c>
      <c r="C37" s="14" t="s">
        <v>133</v>
      </c>
      <c r="D37" s="52">
        <f>D36+D35+D34+D33+D32+D31+D30+D29+D28+D27</f>
        <v>179500</v>
      </c>
    </row>
    <row r="38" spans="1:4">
      <c r="A38" s="9">
        <v>100</v>
      </c>
      <c r="B38" s="10" t="s">
        <v>21</v>
      </c>
      <c r="C38" s="14" t="s">
        <v>133</v>
      </c>
      <c r="D38" s="11">
        <f>D10-D37</f>
        <v>52007.972000000038</v>
      </c>
    </row>
    <row r="39" spans="1:4">
      <c r="A39" s="59"/>
      <c r="B39" s="72" t="s">
        <v>137</v>
      </c>
      <c r="C39" s="72"/>
      <c r="D39" s="72"/>
    </row>
    <row r="40" spans="1:4">
      <c r="A40" s="59"/>
      <c r="B40" s="9" t="s">
        <v>138</v>
      </c>
      <c r="C40" s="14" t="s">
        <v>133</v>
      </c>
      <c r="D40" s="63">
        <v>30000</v>
      </c>
    </row>
    <row r="41" spans="1:4">
      <c r="A41" s="59"/>
      <c r="B41" s="9" t="s">
        <v>139</v>
      </c>
      <c r="C41" s="14" t="s">
        <v>133</v>
      </c>
      <c r="D41" s="63">
        <v>8000</v>
      </c>
    </row>
    <row r="42" spans="1:4">
      <c r="A42" s="59"/>
      <c r="B42" s="9" t="s">
        <v>148</v>
      </c>
      <c r="C42" s="14"/>
      <c r="D42" s="63">
        <v>10000</v>
      </c>
    </row>
    <row r="43" spans="1:4">
      <c r="A43" s="59"/>
      <c r="B43" s="16" t="s">
        <v>20</v>
      </c>
      <c r="C43" s="14" t="s">
        <v>133</v>
      </c>
      <c r="D43" s="11">
        <f>D41+D40</f>
        <v>38000</v>
      </c>
    </row>
    <row r="44" spans="1:4">
      <c r="A44" s="59"/>
      <c r="B44" s="10" t="s">
        <v>21</v>
      </c>
      <c r="C44" s="14" t="s">
        <v>133</v>
      </c>
      <c r="D44" s="60">
        <f>D11-D43</f>
        <v>162880</v>
      </c>
    </row>
  </sheetData>
  <mergeCells count="6">
    <mergeCell ref="B39:D39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B46" sqref="B46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814494.06</v>
      </c>
    </row>
    <row r="9" spans="1:4">
      <c r="A9" s="9">
        <v>2</v>
      </c>
      <c r="B9" s="12" t="s">
        <v>6</v>
      </c>
      <c r="C9" s="14" t="s">
        <v>133</v>
      </c>
      <c r="D9" s="13">
        <f>12*10.64*4071.1</f>
        <v>519798.04800000001</v>
      </c>
    </row>
    <row r="10" spans="1:4">
      <c r="A10" s="9">
        <v>3</v>
      </c>
      <c r="B10" s="12" t="s">
        <v>7</v>
      </c>
      <c r="C10" s="14" t="s">
        <v>133</v>
      </c>
      <c r="D10" s="13">
        <f>12*3.91*4071.1</f>
        <v>191016.01200000002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12*135*64</f>
        <v>103680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12*1.93*4071.1</f>
        <v>94286.675999999992</v>
      </c>
    </row>
    <row r="15" spans="1:4">
      <c r="A15" s="9">
        <v>14</v>
      </c>
      <c r="B15" s="15" t="s">
        <v>10</v>
      </c>
      <c r="C15" s="14" t="s">
        <v>133</v>
      </c>
      <c r="D15" s="13">
        <f>12*1.55*4071.1</f>
        <v>75722.460000000006</v>
      </c>
    </row>
    <row r="16" spans="1:4">
      <c r="A16" s="9">
        <v>16</v>
      </c>
      <c r="B16" s="15" t="s">
        <v>12</v>
      </c>
      <c r="C16" s="14" t="s">
        <v>133</v>
      </c>
      <c r="D16" s="13">
        <f>12*1.65*4071.1</f>
        <v>80607.779999999984</v>
      </c>
    </row>
    <row r="17" spans="1:4">
      <c r="A17" s="9">
        <v>19</v>
      </c>
      <c r="B17" s="15" t="s">
        <v>15</v>
      </c>
      <c r="C17" s="14" t="s">
        <v>133</v>
      </c>
      <c r="D17" s="13">
        <f>12*0.78*4071.1</f>
        <v>38105.495999999999</v>
      </c>
    </row>
    <row r="18" spans="1:4">
      <c r="A18" s="9">
        <v>20</v>
      </c>
      <c r="B18" s="15" t="s">
        <v>16</v>
      </c>
      <c r="C18" s="14" t="s">
        <v>133</v>
      </c>
      <c r="D18" s="13">
        <f>12*1.36*4071.1</f>
        <v>66440.351999999999</v>
      </c>
    </row>
    <row r="19" spans="1:4">
      <c r="A19" s="9">
        <v>21</v>
      </c>
      <c r="B19" s="15" t="s">
        <v>17</v>
      </c>
      <c r="C19" s="14" t="s">
        <v>133</v>
      </c>
      <c r="D19" s="13">
        <f>12*0.85*4071.1</f>
        <v>41525.219999999994</v>
      </c>
    </row>
    <row r="20" spans="1:4">
      <c r="A20" s="9">
        <v>22</v>
      </c>
      <c r="B20" s="15" t="s">
        <v>18</v>
      </c>
      <c r="C20" s="14" t="s">
        <v>133</v>
      </c>
      <c r="D20" s="13">
        <f>12*2.49*4071.1</f>
        <v>121644.46800000001</v>
      </c>
    </row>
    <row r="21" spans="1:4">
      <c r="A21" s="9">
        <v>23</v>
      </c>
      <c r="B21" s="15" t="s">
        <v>19</v>
      </c>
      <c r="C21" s="14" t="s">
        <v>133</v>
      </c>
      <c r="D21" s="13">
        <f>12*0.029*4071.1</f>
        <v>1416.7428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529749.19479999994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-9951.1467999999295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2000</v>
      </c>
    </row>
    <row r="28" spans="1:4">
      <c r="A28" s="9">
        <v>31</v>
      </c>
      <c r="B28" s="12" t="s">
        <v>25</v>
      </c>
      <c r="C28" s="14" t="s">
        <v>133</v>
      </c>
      <c r="D28" s="13">
        <v>500</v>
      </c>
    </row>
    <row r="29" spans="1:4">
      <c r="A29" s="9">
        <v>33</v>
      </c>
      <c r="B29" s="12" t="s">
        <v>26</v>
      </c>
      <c r="C29" s="14" t="s">
        <v>133</v>
      </c>
      <c r="D29" s="13">
        <v>4000</v>
      </c>
    </row>
    <row r="30" spans="1:4">
      <c r="A30" s="9">
        <v>34</v>
      </c>
      <c r="B30" s="12" t="s">
        <v>27</v>
      </c>
      <c r="C30" s="14" t="s">
        <v>133</v>
      </c>
      <c r="D30" s="13">
        <v>12000</v>
      </c>
    </row>
    <row r="31" spans="1:4">
      <c r="A31" s="9">
        <v>40</v>
      </c>
      <c r="B31" s="12" t="s">
        <v>30</v>
      </c>
      <c r="C31" s="14" t="s">
        <v>133</v>
      </c>
      <c r="D31" s="13">
        <v>1000</v>
      </c>
    </row>
    <row r="32" spans="1:4">
      <c r="A32" s="9">
        <v>41</v>
      </c>
      <c r="B32" s="12" t="s">
        <v>31</v>
      </c>
      <c r="C32" s="14" t="s">
        <v>133</v>
      </c>
      <c r="D32" s="13">
        <v>2000</v>
      </c>
    </row>
    <row r="33" spans="1:4">
      <c r="A33" s="9">
        <v>68</v>
      </c>
      <c r="B33" s="12" t="s">
        <v>38</v>
      </c>
      <c r="C33" s="14" t="s">
        <v>133</v>
      </c>
      <c r="D33" s="13">
        <v>5000</v>
      </c>
    </row>
    <row r="34" spans="1:4">
      <c r="A34" s="9">
        <v>84</v>
      </c>
      <c r="B34" s="12" t="s">
        <v>44</v>
      </c>
      <c r="C34" s="14" t="s">
        <v>133</v>
      </c>
      <c r="D34" s="13">
        <v>56000</v>
      </c>
    </row>
    <row r="35" spans="1:4">
      <c r="A35" s="9">
        <v>96</v>
      </c>
      <c r="B35" s="12" t="s">
        <v>48</v>
      </c>
      <c r="C35" s="14" t="s">
        <v>133</v>
      </c>
      <c r="D35" s="13">
        <v>2500</v>
      </c>
    </row>
    <row r="36" spans="1:4">
      <c r="A36" s="9">
        <v>99</v>
      </c>
      <c r="B36" s="16" t="s">
        <v>20</v>
      </c>
      <c r="C36" s="14" t="s">
        <v>133</v>
      </c>
      <c r="D36" s="52">
        <f>D35+D34+D33+D32+D31+D30+D29+D28+D27</f>
        <v>85000</v>
      </c>
    </row>
    <row r="37" spans="1:4">
      <c r="A37" s="9">
        <v>100</v>
      </c>
      <c r="B37" s="10" t="s">
        <v>21</v>
      </c>
      <c r="C37" s="14" t="s">
        <v>133</v>
      </c>
      <c r="D37" s="11">
        <f>D10-D36</f>
        <v>106016.01200000002</v>
      </c>
    </row>
    <row r="38" spans="1:4">
      <c r="A38" s="59"/>
      <c r="B38" s="72" t="s">
        <v>137</v>
      </c>
      <c r="C38" s="72"/>
      <c r="D38" s="72"/>
    </row>
    <row r="39" spans="1:4">
      <c r="A39" s="59"/>
      <c r="B39" s="9" t="s">
        <v>138</v>
      </c>
      <c r="C39" s="14" t="s">
        <v>133</v>
      </c>
      <c r="D39" s="63">
        <v>30000</v>
      </c>
    </row>
    <row r="40" spans="1:4">
      <c r="A40" s="59"/>
      <c r="B40" s="9" t="s">
        <v>139</v>
      </c>
      <c r="C40" s="14" t="s">
        <v>133</v>
      </c>
      <c r="D40" s="63">
        <v>8000</v>
      </c>
    </row>
    <row r="41" spans="1:4">
      <c r="A41" s="59"/>
      <c r="B41" s="9" t="s">
        <v>148</v>
      </c>
      <c r="C41" s="14"/>
      <c r="D41" s="63">
        <v>10000</v>
      </c>
    </row>
    <row r="42" spans="1:4">
      <c r="A42" s="59"/>
      <c r="B42" s="16" t="s">
        <v>20</v>
      </c>
      <c r="C42" s="14" t="s">
        <v>133</v>
      </c>
      <c r="D42" s="11">
        <f>D40+D39</f>
        <v>38000</v>
      </c>
    </row>
    <row r="43" spans="1:4">
      <c r="A43" s="59"/>
      <c r="B43" s="10" t="s">
        <v>21</v>
      </c>
      <c r="C43" s="14" t="s">
        <v>133</v>
      </c>
      <c r="D43" s="60">
        <f>D11-D42</f>
        <v>65680</v>
      </c>
    </row>
  </sheetData>
  <mergeCells count="6">
    <mergeCell ref="B38:D38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topLeftCell="A16" workbookViewId="0">
      <selection activeCell="G42" sqref="G42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1"/>
      <c r="B4" s="1"/>
      <c r="C4" s="7"/>
      <c r="D4" s="7"/>
    </row>
    <row r="5" spans="1:4">
      <c r="A5" s="8" t="s">
        <v>1</v>
      </c>
      <c r="B5" s="8" t="s">
        <v>2</v>
      </c>
      <c r="C5" s="8" t="s">
        <v>3</v>
      </c>
      <c r="D5" s="8" t="s">
        <v>4</v>
      </c>
    </row>
    <row r="6" spans="1:4">
      <c r="A6" s="9">
        <v>1</v>
      </c>
      <c r="B6" s="10" t="s">
        <v>5</v>
      </c>
      <c r="C6" s="14" t="s">
        <v>133</v>
      </c>
      <c r="D6" s="11">
        <f>D7+D8+D9</f>
        <v>843120.36</v>
      </c>
    </row>
    <row r="7" spans="1:4">
      <c r="A7" s="9">
        <v>2</v>
      </c>
      <c r="B7" s="12" t="s">
        <v>6</v>
      </c>
      <c r="C7" s="14" t="s">
        <v>133</v>
      </c>
      <c r="D7" s="13">
        <f>12*10.64*4086.6</f>
        <v>521777.08799999999</v>
      </c>
    </row>
    <row r="8" spans="1:4">
      <c r="A8" s="9">
        <v>3</v>
      </c>
      <c r="B8" s="12" t="s">
        <v>7</v>
      </c>
      <c r="C8" s="14" t="s">
        <v>133</v>
      </c>
      <c r="D8" s="13">
        <f>12*3.91*4086.6</f>
        <v>191743.272</v>
      </c>
    </row>
    <row r="9" spans="1:4" ht="24">
      <c r="A9" s="9">
        <v>4</v>
      </c>
      <c r="B9" s="19" t="s">
        <v>51</v>
      </c>
      <c r="C9" s="14" t="s">
        <v>133</v>
      </c>
      <c r="D9" s="13">
        <f>12*135*80</f>
        <v>129600</v>
      </c>
    </row>
    <row r="10" spans="1:4">
      <c r="A10" s="9">
        <v>11</v>
      </c>
      <c r="B10" s="9"/>
      <c r="C10" s="14"/>
      <c r="D10" s="14"/>
    </row>
    <row r="11" spans="1:4">
      <c r="A11" s="9">
        <v>12</v>
      </c>
      <c r="B11" s="69" t="s">
        <v>8</v>
      </c>
      <c r="C11" s="70"/>
      <c r="D11" s="71"/>
    </row>
    <row r="12" spans="1:4">
      <c r="A12" s="9">
        <v>13</v>
      </c>
      <c r="B12" s="15" t="s">
        <v>9</v>
      </c>
      <c r="C12" s="14" t="s">
        <v>133</v>
      </c>
      <c r="D12" s="13">
        <f>12*1.93*4086.6</f>
        <v>94645.656000000003</v>
      </c>
    </row>
    <row r="13" spans="1:4">
      <c r="A13" s="9">
        <v>14</v>
      </c>
      <c r="B13" s="15" t="s">
        <v>10</v>
      </c>
      <c r="C13" s="14" t="s">
        <v>133</v>
      </c>
      <c r="D13" s="13">
        <f>12*1.55*4086.6</f>
        <v>76010.760000000009</v>
      </c>
    </row>
    <row r="14" spans="1:4">
      <c r="A14" s="9">
        <v>16</v>
      </c>
      <c r="B14" s="15" t="s">
        <v>12</v>
      </c>
      <c r="C14" s="14" t="s">
        <v>133</v>
      </c>
      <c r="D14" s="13">
        <f>12*1.65*4086.6</f>
        <v>80914.679999999993</v>
      </c>
    </row>
    <row r="15" spans="1:4">
      <c r="A15" s="9">
        <v>19</v>
      </c>
      <c r="B15" s="15" t="s">
        <v>15</v>
      </c>
      <c r="C15" s="14" t="s">
        <v>133</v>
      </c>
      <c r="D15" s="13">
        <f>12*0.78*4086.6</f>
        <v>38250.575999999994</v>
      </c>
    </row>
    <row r="16" spans="1:4">
      <c r="A16" s="9">
        <v>20</v>
      </c>
      <c r="B16" s="15" t="s">
        <v>16</v>
      </c>
      <c r="C16" s="14" t="s">
        <v>133</v>
      </c>
      <c r="D16" s="13">
        <f>12*1.36*4086.6</f>
        <v>66693.312000000005</v>
      </c>
    </row>
    <row r="17" spans="1:4">
      <c r="A17" s="9">
        <v>21</v>
      </c>
      <c r="B17" s="15" t="s">
        <v>17</v>
      </c>
      <c r="C17" s="14" t="s">
        <v>133</v>
      </c>
      <c r="D17" s="13">
        <f>12*0.85*4086.6</f>
        <v>41683.32</v>
      </c>
    </row>
    <row r="18" spans="1:4">
      <c r="A18" s="9">
        <v>22</v>
      </c>
      <c r="B18" s="15" t="s">
        <v>18</v>
      </c>
      <c r="C18" s="14" t="s">
        <v>133</v>
      </c>
      <c r="D18" s="13">
        <f>12*2.49*4086.6</f>
        <v>122107.60800000001</v>
      </c>
    </row>
    <row r="19" spans="1:4">
      <c r="A19" s="9">
        <v>23</v>
      </c>
      <c r="B19" s="15" t="s">
        <v>19</v>
      </c>
      <c r="C19" s="14" t="s">
        <v>133</v>
      </c>
      <c r="D19" s="13">
        <f>12*0.029*4086.6</f>
        <v>1422.1368</v>
      </c>
    </row>
    <row r="20" spans="1:4">
      <c r="A20" s="9">
        <v>24</v>
      </c>
      <c r="B20" s="19" t="s">
        <v>141</v>
      </c>
      <c r="C20" s="14" t="s">
        <v>133</v>
      </c>
      <c r="D20" s="13">
        <v>10000</v>
      </c>
    </row>
    <row r="21" spans="1:4">
      <c r="A21" s="9">
        <v>25</v>
      </c>
      <c r="B21" s="16" t="s">
        <v>20</v>
      </c>
      <c r="C21" s="14" t="s">
        <v>133</v>
      </c>
      <c r="D21" s="11">
        <f>D20+D19+D18+D17+D16+D15+D14+D13+D12</f>
        <v>531728.04879999999</v>
      </c>
    </row>
    <row r="22" spans="1:4">
      <c r="A22" s="9">
        <v>26</v>
      </c>
      <c r="B22" s="10" t="s">
        <v>21</v>
      </c>
      <c r="C22" s="14" t="s">
        <v>133</v>
      </c>
      <c r="D22" s="11">
        <f>D7-D21</f>
        <v>-9950.9608000000007</v>
      </c>
    </row>
    <row r="23" spans="1:4">
      <c r="A23" s="9">
        <v>27</v>
      </c>
      <c r="B23" s="69" t="s">
        <v>22</v>
      </c>
      <c r="C23" s="70"/>
      <c r="D23" s="71"/>
    </row>
    <row r="24" spans="1:4">
      <c r="A24" s="9">
        <v>28</v>
      </c>
      <c r="B24" s="10" t="s">
        <v>23</v>
      </c>
      <c r="C24" s="14" t="s">
        <v>133</v>
      </c>
      <c r="D24" s="11"/>
    </row>
    <row r="25" spans="1:4">
      <c r="A25" s="9">
        <v>29</v>
      </c>
      <c r="B25" s="12" t="s">
        <v>24</v>
      </c>
      <c r="C25" s="14" t="s">
        <v>133</v>
      </c>
      <c r="D25" s="13">
        <v>4000</v>
      </c>
    </row>
    <row r="26" spans="1:4">
      <c r="A26" s="9">
        <v>31</v>
      </c>
      <c r="B26" s="12" t="s">
        <v>25</v>
      </c>
      <c r="C26" s="14" t="s">
        <v>133</v>
      </c>
      <c r="D26" s="13">
        <v>2000</v>
      </c>
    </row>
    <row r="27" spans="1:4">
      <c r="A27" s="9">
        <v>33</v>
      </c>
      <c r="B27" s="12" t="s">
        <v>26</v>
      </c>
      <c r="C27" s="14" t="s">
        <v>133</v>
      </c>
      <c r="D27" s="13">
        <v>3500</v>
      </c>
    </row>
    <row r="28" spans="1:4">
      <c r="A28" s="9">
        <v>34</v>
      </c>
      <c r="B28" s="12" t="s">
        <v>27</v>
      </c>
      <c r="C28" s="14" t="s">
        <v>133</v>
      </c>
      <c r="D28" s="13">
        <v>15000</v>
      </c>
    </row>
    <row r="29" spans="1:4">
      <c r="A29" s="9">
        <v>40</v>
      </c>
      <c r="B29" s="12" t="s">
        <v>30</v>
      </c>
      <c r="C29" s="14" t="s">
        <v>133</v>
      </c>
      <c r="D29" s="13">
        <v>2000</v>
      </c>
    </row>
    <row r="30" spans="1:4">
      <c r="A30" s="9"/>
      <c r="B30" s="12" t="s">
        <v>143</v>
      </c>
      <c r="C30" s="14" t="s">
        <v>133</v>
      </c>
      <c r="D30" s="13">
        <v>5000</v>
      </c>
    </row>
    <row r="31" spans="1:4">
      <c r="A31" s="9">
        <v>63</v>
      </c>
      <c r="B31" s="12" t="s">
        <v>36</v>
      </c>
      <c r="C31" s="14" t="s">
        <v>133</v>
      </c>
      <c r="D31" s="13">
        <v>5000</v>
      </c>
    </row>
    <row r="32" spans="1:4">
      <c r="A32" s="9">
        <v>75</v>
      </c>
      <c r="B32" s="12" t="s">
        <v>41</v>
      </c>
      <c r="C32" s="14" t="s">
        <v>133</v>
      </c>
      <c r="D32" s="13">
        <v>1500</v>
      </c>
    </row>
    <row r="33" spans="1:4">
      <c r="A33" s="9">
        <v>84</v>
      </c>
      <c r="B33" s="12" t="s">
        <v>44</v>
      </c>
      <c r="C33" s="14" t="s">
        <v>133</v>
      </c>
      <c r="D33" s="13">
        <v>84000</v>
      </c>
    </row>
    <row r="34" spans="1:4">
      <c r="A34" s="9">
        <v>99</v>
      </c>
      <c r="B34" s="16" t="s">
        <v>20</v>
      </c>
      <c r="C34" s="14" t="s">
        <v>133</v>
      </c>
      <c r="D34" s="52">
        <f>D33+D32+D31+D29+D28+D27+D26+D25+D30</f>
        <v>122000</v>
      </c>
    </row>
    <row r="35" spans="1:4">
      <c r="A35" s="9">
        <v>100</v>
      </c>
      <c r="B35" s="10" t="s">
        <v>21</v>
      </c>
      <c r="C35" s="14" t="s">
        <v>133</v>
      </c>
      <c r="D35" s="11">
        <f>D8-D34</f>
        <v>69743.271999999997</v>
      </c>
    </row>
    <row r="36" spans="1:4">
      <c r="A36" s="59"/>
      <c r="B36" s="72" t="s">
        <v>137</v>
      </c>
      <c r="C36" s="72"/>
      <c r="D36" s="72"/>
    </row>
    <row r="37" spans="1:4">
      <c r="A37" s="59"/>
      <c r="B37" s="9" t="s">
        <v>138</v>
      </c>
      <c r="C37" s="14" t="s">
        <v>133</v>
      </c>
      <c r="D37" s="63">
        <v>20000</v>
      </c>
    </row>
    <row r="38" spans="1:4">
      <c r="A38" s="59"/>
      <c r="B38" s="9" t="s">
        <v>139</v>
      </c>
      <c r="C38" s="14" t="s">
        <v>133</v>
      </c>
      <c r="D38" s="63">
        <v>4000</v>
      </c>
    </row>
    <row r="39" spans="1:4">
      <c r="A39" s="59"/>
      <c r="B39" s="9" t="s">
        <v>148</v>
      </c>
      <c r="C39" s="14"/>
      <c r="D39" s="63">
        <v>5000</v>
      </c>
    </row>
    <row r="40" spans="1:4">
      <c r="A40" s="59"/>
      <c r="B40" s="16" t="s">
        <v>20</v>
      </c>
      <c r="C40" s="14" t="s">
        <v>133</v>
      </c>
      <c r="D40" s="11">
        <f>D38+D37</f>
        <v>24000</v>
      </c>
    </row>
    <row r="41" spans="1:4">
      <c r="A41" s="59"/>
      <c r="B41" s="10" t="s">
        <v>21</v>
      </c>
      <c r="C41" s="14" t="s">
        <v>133</v>
      </c>
      <c r="D41" s="60">
        <f>D9-D40</f>
        <v>105600</v>
      </c>
    </row>
  </sheetData>
  <mergeCells count="5">
    <mergeCell ref="B36:D36"/>
    <mergeCell ref="B23:D23"/>
    <mergeCell ref="A2:D2"/>
    <mergeCell ref="B3:D3"/>
    <mergeCell ref="B11:D1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topLeftCell="A20" workbookViewId="0">
      <selection activeCell="A37" sqref="A37:D42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492506.64000000007</v>
      </c>
    </row>
    <row r="9" spans="1:4">
      <c r="A9" s="9">
        <v>2</v>
      </c>
      <c r="B9" s="12" t="s">
        <v>6</v>
      </c>
      <c r="C9" s="14" t="s">
        <v>133</v>
      </c>
      <c r="D9" s="13">
        <f>12*10.64*2208.4</f>
        <v>281968.51200000005</v>
      </c>
    </row>
    <row r="10" spans="1:4">
      <c r="A10" s="9">
        <v>3</v>
      </c>
      <c r="B10" s="12" t="s">
        <v>7</v>
      </c>
      <c r="C10" s="14" t="s">
        <v>133</v>
      </c>
      <c r="D10" s="13">
        <f>12*3.91*2208.4</f>
        <v>103618.12800000001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12*135*66</f>
        <v>106920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12*1.93*2208.4</f>
        <v>51146.544000000002</v>
      </c>
    </row>
    <row r="15" spans="1:4">
      <c r="A15" s="9">
        <v>14</v>
      </c>
      <c r="B15" s="15" t="s">
        <v>10</v>
      </c>
      <c r="C15" s="14" t="s">
        <v>133</v>
      </c>
      <c r="D15" s="13">
        <f>12*1.55*2208.4</f>
        <v>41076.240000000005</v>
      </c>
    </row>
    <row r="16" spans="1:4">
      <c r="A16" s="9">
        <v>16</v>
      </c>
      <c r="B16" s="15" t="s">
        <v>12</v>
      </c>
      <c r="C16" s="14" t="s">
        <v>133</v>
      </c>
      <c r="D16" s="13">
        <f>12*1.65*2208.4</f>
        <v>43726.319999999992</v>
      </c>
    </row>
    <row r="17" spans="1:4">
      <c r="A17" s="9">
        <v>19</v>
      </c>
      <c r="B17" s="15" t="s">
        <v>15</v>
      </c>
      <c r="C17" s="14" t="s">
        <v>133</v>
      </c>
      <c r="D17" s="13">
        <f>12*0.78*2208.4</f>
        <v>20670.624</v>
      </c>
    </row>
    <row r="18" spans="1:4">
      <c r="A18" s="9">
        <v>20</v>
      </c>
      <c r="B18" s="15" t="s">
        <v>16</v>
      </c>
      <c r="C18" s="14" t="s">
        <v>133</v>
      </c>
      <c r="D18" s="13">
        <f>12*1.36*2208.4</f>
        <v>36041.088000000003</v>
      </c>
    </row>
    <row r="19" spans="1:4">
      <c r="A19" s="9">
        <v>21</v>
      </c>
      <c r="B19" s="15" t="s">
        <v>17</v>
      </c>
      <c r="C19" s="14" t="s">
        <v>133</v>
      </c>
      <c r="D19" s="13">
        <f>12*0.85*2208.4</f>
        <v>22525.68</v>
      </c>
    </row>
    <row r="20" spans="1:4">
      <c r="A20" s="9">
        <v>22</v>
      </c>
      <c r="B20" s="15" t="s">
        <v>18</v>
      </c>
      <c r="C20" s="14" t="s">
        <v>133</v>
      </c>
      <c r="D20" s="13">
        <f>12*2.49*2208.4</f>
        <v>65986.992000000013</v>
      </c>
    </row>
    <row r="21" spans="1:4">
      <c r="A21" s="9">
        <v>23</v>
      </c>
      <c r="B21" s="15" t="s">
        <v>19</v>
      </c>
      <c r="C21" s="14" t="s">
        <v>133</v>
      </c>
      <c r="D21" s="13">
        <f>12*0.029*2208.4</f>
        <v>768.52320000000009</v>
      </c>
    </row>
    <row r="22" spans="1:4">
      <c r="A22" s="9">
        <v>24</v>
      </c>
      <c r="B22" s="19" t="s">
        <v>149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291942.01120000001</v>
      </c>
    </row>
    <row r="24" spans="1:4">
      <c r="A24" s="9">
        <v>26</v>
      </c>
      <c r="B24" s="10" t="s">
        <v>21</v>
      </c>
      <c r="C24" s="14" t="s">
        <v>133</v>
      </c>
      <c r="D24" s="11"/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2000</v>
      </c>
    </row>
    <row r="28" spans="1:4">
      <c r="A28" s="9">
        <v>33</v>
      </c>
      <c r="B28" s="12" t="s">
        <v>26</v>
      </c>
      <c r="C28" s="14" t="s">
        <v>133</v>
      </c>
      <c r="D28" s="13">
        <v>1500</v>
      </c>
    </row>
    <row r="29" spans="1:4">
      <c r="A29" s="9">
        <v>40</v>
      </c>
      <c r="B29" s="12" t="s">
        <v>30</v>
      </c>
      <c r="C29" s="14" t="s">
        <v>133</v>
      </c>
      <c r="D29" s="13">
        <v>2500</v>
      </c>
    </row>
    <row r="30" spans="1:4" ht="24">
      <c r="A30" s="9">
        <v>64</v>
      </c>
      <c r="B30" s="17" t="s">
        <v>37</v>
      </c>
      <c r="C30" s="14" t="s">
        <v>133</v>
      </c>
      <c r="D30" s="13">
        <v>3500</v>
      </c>
    </row>
    <row r="31" spans="1:4">
      <c r="A31" s="9">
        <v>68</v>
      </c>
      <c r="B31" s="12" t="s">
        <v>150</v>
      </c>
      <c r="C31" s="14" t="s">
        <v>133</v>
      </c>
      <c r="D31" s="13">
        <v>6000</v>
      </c>
    </row>
    <row r="32" spans="1:4">
      <c r="A32" s="9">
        <v>76</v>
      </c>
      <c r="B32" s="12" t="s">
        <v>42</v>
      </c>
      <c r="C32" s="14" t="s">
        <v>133</v>
      </c>
      <c r="D32" s="13">
        <v>30000</v>
      </c>
    </row>
    <row r="33" spans="1:4">
      <c r="A33" s="9">
        <v>84</v>
      </c>
      <c r="B33" s="12" t="s">
        <v>44</v>
      </c>
      <c r="C33" s="14" t="s">
        <v>133</v>
      </c>
      <c r="D33" s="13">
        <v>56000</v>
      </c>
    </row>
    <row r="34" spans="1:4">
      <c r="A34" s="9">
        <v>96</v>
      </c>
      <c r="B34" s="12" t="s">
        <v>48</v>
      </c>
      <c r="C34" s="14" t="s">
        <v>133</v>
      </c>
      <c r="D34" s="13">
        <v>1000</v>
      </c>
    </row>
    <row r="35" spans="1:4">
      <c r="A35" s="9">
        <v>99</v>
      </c>
      <c r="B35" s="16" t="s">
        <v>20</v>
      </c>
      <c r="C35" s="14" t="s">
        <v>133</v>
      </c>
      <c r="D35" s="52">
        <f>D34+D33+D32+D31+D30+D29+D28+D27</f>
        <v>102500</v>
      </c>
    </row>
    <row r="36" spans="1:4">
      <c r="A36" s="9">
        <v>100</v>
      </c>
      <c r="B36" s="10" t="s">
        <v>21</v>
      </c>
      <c r="C36" s="14" t="s">
        <v>133</v>
      </c>
      <c r="D36" s="11">
        <f>D10-D35</f>
        <v>1118.1280000000115</v>
      </c>
    </row>
    <row r="37" spans="1:4">
      <c r="A37" s="59"/>
      <c r="B37" s="72" t="s">
        <v>137</v>
      </c>
      <c r="C37" s="72"/>
      <c r="D37" s="72"/>
    </row>
    <row r="38" spans="1:4">
      <c r="A38" s="59"/>
      <c r="B38" s="9" t="s">
        <v>138</v>
      </c>
      <c r="C38" s="14" t="s">
        <v>133</v>
      </c>
      <c r="D38" s="63">
        <v>10000</v>
      </c>
    </row>
    <row r="39" spans="1:4">
      <c r="A39" s="59"/>
      <c r="B39" s="9" t="s">
        <v>139</v>
      </c>
      <c r="C39" s="14" t="s">
        <v>133</v>
      </c>
      <c r="D39" s="63">
        <v>3000</v>
      </c>
    </row>
    <row r="40" spans="1:4">
      <c r="A40" s="59"/>
      <c r="B40" s="9" t="s">
        <v>148</v>
      </c>
      <c r="C40" s="14"/>
      <c r="D40" s="63">
        <v>5000</v>
      </c>
    </row>
    <row r="41" spans="1:4">
      <c r="A41" s="59"/>
      <c r="B41" s="16" t="s">
        <v>20</v>
      </c>
      <c r="C41" s="14" t="s">
        <v>133</v>
      </c>
      <c r="D41" s="11">
        <f>D39+D38</f>
        <v>13000</v>
      </c>
    </row>
    <row r="42" spans="1:4">
      <c r="A42" s="59"/>
      <c r="B42" s="10" t="s">
        <v>21</v>
      </c>
      <c r="C42" s="14" t="s">
        <v>133</v>
      </c>
      <c r="D42" s="60">
        <f>D11-D41</f>
        <v>93920</v>
      </c>
    </row>
  </sheetData>
  <mergeCells count="6">
    <mergeCell ref="B37:D37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topLeftCell="A16" workbookViewId="0">
      <selection activeCell="F45" sqref="F4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809238.6</v>
      </c>
    </row>
    <row r="9" spans="1:4">
      <c r="A9" s="9">
        <v>2</v>
      </c>
      <c r="B9" s="12" t="s">
        <v>6</v>
      </c>
      <c r="C9" s="14" t="s">
        <v>133</v>
      </c>
      <c r="D9" s="13">
        <f>12*10.64*4041</f>
        <v>515954.88</v>
      </c>
    </row>
    <row r="10" spans="1:4">
      <c r="A10" s="9">
        <v>3</v>
      </c>
      <c r="B10" s="12" t="s">
        <v>7</v>
      </c>
      <c r="C10" s="14" t="s">
        <v>133</v>
      </c>
      <c r="D10" s="13">
        <f>12*3.91*4041</f>
        <v>189603.72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12*135*64</f>
        <v>103680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12*1.93*4041</f>
        <v>93589.56</v>
      </c>
    </row>
    <row r="15" spans="1:4">
      <c r="A15" s="9">
        <v>14</v>
      </c>
      <c r="B15" s="15" t="s">
        <v>10</v>
      </c>
      <c r="C15" s="14" t="s">
        <v>133</v>
      </c>
      <c r="D15" s="13">
        <f>12*1.55*4041</f>
        <v>75162.600000000006</v>
      </c>
    </row>
    <row r="16" spans="1:4">
      <c r="A16" s="9">
        <v>16</v>
      </c>
      <c r="B16" s="15" t="s">
        <v>12</v>
      </c>
      <c r="C16" s="14" t="s">
        <v>133</v>
      </c>
      <c r="D16" s="13">
        <f>12*1.65*4041</f>
        <v>80011.799999999988</v>
      </c>
    </row>
    <row r="17" spans="1:4">
      <c r="A17" s="9">
        <v>19</v>
      </c>
      <c r="B17" s="15" t="s">
        <v>15</v>
      </c>
      <c r="C17" s="14" t="s">
        <v>133</v>
      </c>
      <c r="D17" s="13">
        <f>12*0.78*4041</f>
        <v>37823.759999999995</v>
      </c>
    </row>
    <row r="18" spans="1:4">
      <c r="A18" s="9">
        <v>20</v>
      </c>
      <c r="B18" s="15" t="s">
        <v>16</v>
      </c>
      <c r="C18" s="14" t="s">
        <v>133</v>
      </c>
      <c r="D18" s="13">
        <f>12*1.36*4041</f>
        <v>65949.119999999995</v>
      </c>
    </row>
    <row r="19" spans="1:4">
      <c r="A19" s="9">
        <v>21</v>
      </c>
      <c r="B19" s="15" t="s">
        <v>17</v>
      </c>
      <c r="C19" s="14" t="s">
        <v>133</v>
      </c>
      <c r="D19" s="13">
        <f>12*0.85*4041</f>
        <v>41218.199999999997</v>
      </c>
    </row>
    <row r="20" spans="1:4">
      <c r="A20" s="9">
        <v>22</v>
      </c>
      <c r="B20" s="15" t="s">
        <v>18</v>
      </c>
      <c r="C20" s="14" t="s">
        <v>133</v>
      </c>
      <c r="D20" s="13">
        <f>12*2.49*4041</f>
        <v>120745.08000000002</v>
      </c>
    </row>
    <row r="21" spans="1:4">
      <c r="A21" s="9">
        <v>23</v>
      </c>
      <c r="B21" s="15" t="s">
        <v>19</v>
      </c>
      <c r="C21" s="14" t="s">
        <v>133</v>
      </c>
      <c r="D21" s="13">
        <f>12*0.029*4041</f>
        <v>1406.268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525906.38800000004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-9951.5080000000307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31</v>
      </c>
      <c r="B27" s="12" t="s">
        <v>25</v>
      </c>
      <c r="C27" s="14" t="s">
        <v>133</v>
      </c>
      <c r="D27" s="13">
        <v>3000</v>
      </c>
    </row>
    <row r="28" spans="1:4">
      <c r="A28" s="9">
        <v>33</v>
      </c>
      <c r="B28" s="12" t="s">
        <v>26</v>
      </c>
      <c r="C28" s="14" t="s">
        <v>133</v>
      </c>
      <c r="D28" s="13">
        <v>2500</v>
      </c>
    </row>
    <row r="29" spans="1:4">
      <c r="A29" s="9">
        <v>34</v>
      </c>
      <c r="B29" s="12" t="s">
        <v>27</v>
      </c>
      <c r="C29" s="14" t="s">
        <v>133</v>
      </c>
      <c r="D29" s="13">
        <v>44000</v>
      </c>
    </row>
    <row r="30" spans="1:4">
      <c r="A30" s="9">
        <v>40</v>
      </c>
      <c r="B30" s="12" t="s">
        <v>30</v>
      </c>
      <c r="C30" s="14" t="s">
        <v>133</v>
      </c>
      <c r="D30" s="13">
        <v>2500</v>
      </c>
    </row>
    <row r="31" spans="1:4">
      <c r="A31" s="9">
        <v>43</v>
      </c>
      <c r="B31" s="12" t="s">
        <v>32</v>
      </c>
      <c r="C31" s="14" t="s">
        <v>133</v>
      </c>
      <c r="D31" s="13">
        <v>3500</v>
      </c>
    </row>
    <row r="32" spans="1:4">
      <c r="A32" s="9">
        <v>54</v>
      </c>
      <c r="B32" s="12" t="s">
        <v>34</v>
      </c>
      <c r="C32" s="14" t="s">
        <v>133</v>
      </c>
      <c r="D32" s="13">
        <v>4500</v>
      </c>
    </row>
    <row r="33" spans="1:4">
      <c r="A33" s="9">
        <v>60</v>
      </c>
      <c r="B33" s="12" t="s">
        <v>35</v>
      </c>
      <c r="C33" s="14" t="s">
        <v>133</v>
      </c>
      <c r="D33" s="13">
        <v>6000</v>
      </c>
    </row>
    <row r="34" spans="1:4">
      <c r="A34" s="9">
        <v>63</v>
      </c>
      <c r="B34" s="12" t="s">
        <v>36</v>
      </c>
      <c r="C34" s="14" t="s">
        <v>133</v>
      </c>
      <c r="D34" s="13">
        <v>65000</v>
      </c>
    </row>
    <row r="35" spans="1:4">
      <c r="A35" s="9">
        <v>68</v>
      </c>
      <c r="B35" s="12" t="s">
        <v>38</v>
      </c>
      <c r="C35" s="14" t="s">
        <v>133</v>
      </c>
      <c r="D35" s="13">
        <v>7000</v>
      </c>
    </row>
    <row r="36" spans="1:4">
      <c r="A36" s="9">
        <v>75</v>
      </c>
      <c r="B36" s="12" t="s">
        <v>41</v>
      </c>
      <c r="C36" s="14" t="s">
        <v>133</v>
      </c>
      <c r="D36" s="13">
        <v>1500</v>
      </c>
    </row>
    <row r="37" spans="1:4">
      <c r="A37" s="9">
        <v>84</v>
      </c>
      <c r="B37" s="12" t="s">
        <v>44</v>
      </c>
      <c r="C37" s="14" t="s">
        <v>133</v>
      </c>
      <c r="D37" s="13">
        <v>56000</v>
      </c>
    </row>
    <row r="38" spans="1:4">
      <c r="A38" s="9">
        <v>99</v>
      </c>
      <c r="B38" s="16" t="s">
        <v>20</v>
      </c>
      <c r="C38" s="14" t="s">
        <v>133</v>
      </c>
      <c r="D38" s="52">
        <f>D37+D36+D35+D34+D33+D32+D31+D30+D29+D28+D27</f>
        <v>195500</v>
      </c>
    </row>
    <row r="39" spans="1:4">
      <c r="A39" s="9">
        <v>100</v>
      </c>
      <c r="B39" s="10" t="s">
        <v>21</v>
      </c>
      <c r="C39" s="14" t="s">
        <v>133</v>
      </c>
      <c r="D39" s="11">
        <f>D10-D38</f>
        <v>-5896.2799999999988</v>
      </c>
    </row>
    <row r="40" spans="1:4">
      <c r="A40" s="59"/>
      <c r="B40" s="72" t="s">
        <v>137</v>
      </c>
      <c r="C40" s="72"/>
      <c r="D40" s="72"/>
    </row>
    <row r="41" spans="1:4">
      <c r="A41" s="59"/>
      <c r="B41" s="9" t="s">
        <v>138</v>
      </c>
      <c r="C41" s="14" t="s">
        <v>133</v>
      </c>
      <c r="D41" s="63">
        <v>20000</v>
      </c>
    </row>
    <row r="42" spans="1:4">
      <c r="A42" s="59"/>
      <c r="B42" s="9" t="s">
        <v>139</v>
      </c>
      <c r="C42" s="14" t="s">
        <v>133</v>
      </c>
      <c r="D42" s="63">
        <v>4500</v>
      </c>
    </row>
    <row r="43" spans="1:4">
      <c r="A43" s="59"/>
      <c r="B43" s="9" t="s">
        <v>148</v>
      </c>
      <c r="C43" s="14"/>
      <c r="D43" s="63">
        <v>5000</v>
      </c>
    </row>
    <row r="44" spans="1:4">
      <c r="A44" s="59"/>
      <c r="B44" s="16" t="s">
        <v>20</v>
      </c>
      <c r="C44" s="14" t="s">
        <v>133</v>
      </c>
      <c r="D44" s="11">
        <f>D42+D41</f>
        <v>24500</v>
      </c>
    </row>
    <row r="45" spans="1:4">
      <c r="A45" s="59"/>
      <c r="B45" s="10" t="s">
        <v>21</v>
      </c>
      <c r="C45" s="14" t="s">
        <v>133</v>
      </c>
      <c r="D45" s="60">
        <f>D11-D44</f>
        <v>79180</v>
      </c>
    </row>
  </sheetData>
  <mergeCells count="6">
    <mergeCell ref="B40:D40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4"/>
  <sheetViews>
    <sheetView topLeftCell="A22" workbookViewId="0">
      <selection activeCell="G48" sqref="G48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/>
      <c r="B8" s="10" t="s">
        <v>5</v>
      </c>
      <c r="C8" s="14" t="s">
        <v>133</v>
      </c>
      <c r="D8" s="11">
        <f>D9+D10+D11</f>
        <v>510315.3</v>
      </c>
    </row>
    <row r="9" spans="1:4">
      <c r="A9" s="9"/>
      <c r="B9" s="12" t="s">
        <v>6</v>
      </c>
      <c r="C9" s="14" t="s">
        <v>133</v>
      </c>
      <c r="D9" s="13">
        <f>12*10.64*2180.5</f>
        <v>278406.24</v>
      </c>
    </row>
    <row r="10" spans="1:4">
      <c r="A10" s="9"/>
      <c r="B10" s="12" t="s">
        <v>7</v>
      </c>
      <c r="C10" s="14" t="s">
        <v>133</v>
      </c>
      <c r="D10" s="13">
        <f>12*3.91*2180.5</f>
        <v>102309.06</v>
      </c>
    </row>
    <row r="11" spans="1:4" ht="24">
      <c r="A11" s="9"/>
      <c r="B11" s="19" t="s">
        <v>51</v>
      </c>
      <c r="C11" s="14" t="s">
        <v>133</v>
      </c>
      <c r="D11" s="13">
        <f>12*135*80</f>
        <v>129600</v>
      </c>
    </row>
    <row r="12" spans="1:4">
      <c r="A12" s="9"/>
      <c r="B12" s="9"/>
      <c r="C12" s="14"/>
      <c r="D12" s="14"/>
    </row>
    <row r="13" spans="1:4">
      <c r="A13" s="9"/>
      <c r="B13" s="69" t="s">
        <v>8</v>
      </c>
      <c r="C13" s="70"/>
      <c r="D13" s="71"/>
    </row>
    <row r="14" spans="1:4">
      <c r="A14" s="9"/>
      <c r="B14" s="15" t="s">
        <v>9</v>
      </c>
      <c r="C14" s="14" t="s">
        <v>133</v>
      </c>
      <c r="D14" s="13">
        <f>12*1.93*2180.5</f>
        <v>50500.38</v>
      </c>
    </row>
    <row r="15" spans="1:4">
      <c r="A15" s="9"/>
      <c r="B15" s="15" t="s">
        <v>10</v>
      </c>
      <c r="C15" s="14" t="s">
        <v>133</v>
      </c>
      <c r="D15" s="13">
        <f>12*1.55*2180.5</f>
        <v>40557.300000000003</v>
      </c>
    </row>
    <row r="16" spans="1:4">
      <c r="A16" s="9"/>
      <c r="B16" s="15" t="s">
        <v>12</v>
      </c>
      <c r="C16" s="14" t="s">
        <v>133</v>
      </c>
      <c r="D16" s="13">
        <f>12*1.65*2180.5</f>
        <v>43173.899999999994</v>
      </c>
    </row>
    <row r="17" spans="1:4">
      <c r="A17" s="9"/>
      <c r="B17" s="15" t="s">
        <v>15</v>
      </c>
      <c r="C17" s="14" t="s">
        <v>133</v>
      </c>
      <c r="D17" s="13">
        <f>12*0.78*2180.5</f>
        <v>20409.48</v>
      </c>
    </row>
    <row r="18" spans="1:4">
      <c r="A18" s="9"/>
      <c r="B18" s="15" t="s">
        <v>16</v>
      </c>
      <c r="C18" s="14" t="s">
        <v>133</v>
      </c>
      <c r="D18" s="13">
        <f>12*1.36*2180.5</f>
        <v>35585.760000000002</v>
      </c>
    </row>
    <row r="19" spans="1:4">
      <c r="A19" s="9"/>
      <c r="B19" s="15" t="s">
        <v>17</v>
      </c>
      <c r="C19" s="14" t="s">
        <v>133</v>
      </c>
      <c r="D19" s="13">
        <f>12*0.85*2180.5</f>
        <v>22241.1</v>
      </c>
    </row>
    <row r="20" spans="1:4">
      <c r="A20" s="9"/>
      <c r="B20" s="15" t="s">
        <v>18</v>
      </c>
      <c r="C20" s="14" t="s">
        <v>133</v>
      </c>
      <c r="D20" s="13">
        <f>12*2.49*2180.5</f>
        <v>65153.340000000004</v>
      </c>
    </row>
    <row r="21" spans="1:4">
      <c r="A21" s="9"/>
      <c r="B21" s="15" t="s">
        <v>19</v>
      </c>
      <c r="C21" s="14" t="s">
        <v>133</v>
      </c>
      <c r="D21" s="13">
        <f>12*0.029*2180.5</f>
        <v>758.81400000000008</v>
      </c>
    </row>
    <row r="22" spans="1:4">
      <c r="A22" s="9"/>
      <c r="B22" s="19" t="s">
        <v>141</v>
      </c>
      <c r="C22" s="14" t="s">
        <v>133</v>
      </c>
      <c r="D22" s="13">
        <v>10000</v>
      </c>
    </row>
    <row r="23" spans="1:4">
      <c r="A23" s="9"/>
      <c r="B23" s="16" t="s">
        <v>20</v>
      </c>
      <c r="C23" s="14" t="s">
        <v>133</v>
      </c>
      <c r="D23" s="11">
        <f>D22+D21+D20+D19+D18+D17+D16+D15+D14</f>
        <v>288380.07400000002</v>
      </c>
    </row>
    <row r="24" spans="1:4">
      <c r="A24" s="9"/>
      <c r="B24" s="10" t="s">
        <v>21</v>
      </c>
      <c r="C24" s="14" t="s">
        <v>133</v>
      </c>
      <c r="D24" s="11">
        <f>D9-D23</f>
        <v>-9973.8340000000317</v>
      </c>
    </row>
    <row r="25" spans="1:4">
      <c r="A25" s="9"/>
      <c r="B25" s="69" t="s">
        <v>22</v>
      </c>
      <c r="C25" s="70"/>
      <c r="D25" s="71"/>
    </row>
    <row r="26" spans="1:4">
      <c r="A26" s="9"/>
      <c r="B26" s="10" t="s">
        <v>23</v>
      </c>
      <c r="C26" s="14" t="s">
        <v>133</v>
      </c>
      <c r="D26" s="11"/>
    </row>
    <row r="27" spans="1:4">
      <c r="A27" s="9"/>
      <c r="B27" s="12" t="s">
        <v>24</v>
      </c>
      <c r="C27" s="14" t="s">
        <v>133</v>
      </c>
      <c r="D27" s="13">
        <v>4500</v>
      </c>
    </row>
    <row r="28" spans="1:4">
      <c r="A28" s="9"/>
      <c r="B28" s="12" t="s">
        <v>25</v>
      </c>
      <c r="C28" s="14" t="s">
        <v>133</v>
      </c>
      <c r="D28" s="13">
        <v>2500</v>
      </c>
    </row>
    <row r="29" spans="1:4">
      <c r="A29" s="9"/>
      <c r="B29" s="12" t="s">
        <v>26</v>
      </c>
      <c r="C29" s="14" t="s">
        <v>133</v>
      </c>
      <c r="D29" s="13">
        <v>5000</v>
      </c>
    </row>
    <row r="30" spans="1:4">
      <c r="A30" s="9"/>
      <c r="B30" s="12" t="s">
        <v>30</v>
      </c>
      <c r="C30" s="14" t="s">
        <v>133</v>
      </c>
      <c r="D30" s="13">
        <v>1500</v>
      </c>
    </row>
    <row r="31" spans="1:4" ht="15" customHeight="1">
      <c r="A31" s="9"/>
      <c r="B31" s="12" t="s">
        <v>35</v>
      </c>
      <c r="C31" s="14" t="s">
        <v>133</v>
      </c>
      <c r="D31" s="13">
        <v>5000</v>
      </c>
    </row>
    <row r="32" spans="1:4">
      <c r="A32" s="9"/>
      <c r="B32" s="12" t="s">
        <v>36</v>
      </c>
      <c r="C32" s="14" t="s">
        <v>133</v>
      </c>
      <c r="D32" s="13">
        <v>65000</v>
      </c>
    </row>
    <row r="33" spans="1:4" ht="24">
      <c r="A33" s="9"/>
      <c r="B33" s="17" t="s">
        <v>37</v>
      </c>
      <c r="C33" s="14" t="s">
        <v>133</v>
      </c>
      <c r="D33" s="13">
        <v>4000</v>
      </c>
    </row>
    <row r="34" spans="1:4">
      <c r="A34" s="9"/>
      <c r="B34" s="12" t="s">
        <v>150</v>
      </c>
      <c r="C34" s="14" t="s">
        <v>133</v>
      </c>
      <c r="D34" s="13">
        <v>7000</v>
      </c>
    </row>
    <row r="35" spans="1:4">
      <c r="A35" s="9"/>
      <c r="B35" s="12" t="s">
        <v>44</v>
      </c>
      <c r="C35" s="14" t="s">
        <v>133</v>
      </c>
      <c r="D35" s="13">
        <v>56000</v>
      </c>
    </row>
    <row r="36" spans="1:4">
      <c r="A36" s="9"/>
      <c r="B36" s="12" t="s">
        <v>48</v>
      </c>
      <c r="C36" s="14" t="s">
        <v>133</v>
      </c>
      <c r="D36" s="13">
        <v>4000</v>
      </c>
    </row>
    <row r="37" spans="1:4">
      <c r="A37" s="9"/>
      <c r="B37" s="16" t="s">
        <v>20</v>
      </c>
      <c r="C37" s="14" t="s">
        <v>133</v>
      </c>
      <c r="D37" s="52">
        <f>D36+D35+D34+D33+D32+D31+D30+D29+D28+D27</f>
        <v>154500</v>
      </c>
    </row>
    <row r="38" spans="1:4">
      <c r="A38" s="9"/>
      <c r="B38" s="10" t="s">
        <v>21</v>
      </c>
      <c r="C38" s="14" t="s">
        <v>133</v>
      </c>
      <c r="D38" s="11">
        <f>D10-D37</f>
        <v>-52190.94</v>
      </c>
    </row>
    <row r="39" spans="1:4">
      <c r="A39" s="59"/>
      <c r="B39" s="72" t="s">
        <v>137</v>
      </c>
      <c r="C39" s="72"/>
      <c r="D39" s="72"/>
    </row>
    <row r="40" spans="1:4">
      <c r="A40" s="59"/>
      <c r="B40" s="9" t="s">
        <v>138</v>
      </c>
      <c r="C40" s="14" t="s">
        <v>133</v>
      </c>
      <c r="D40" s="63">
        <v>20000</v>
      </c>
    </row>
    <row r="41" spans="1:4">
      <c r="A41" s="59"/>
      <c r="B41" s="9" t="s">
        <v>139</v>
      </c>
      <c r="C41" s="14" t="s">
        <v>133</v>
      </c>
      <c r="D41" s="63">
        <v>4500</v>
      </c>
    </row>
    <row r="42" spans="1:4">
      <c r="A42" s="59"/>
      <c r="B42" s="9" t="s">
        <v>148</v>
      </c>
      <c r="C42" s="14"/>
      <c r="D42" s="63">
        <v>5000</v>
      </c>
    </row>
    <row r="43" spans="1:4">
      <c r="A43" s="59"/>
      <c r="B43" s="16" t="s">
        <v>20</v>
      </c>
      <c r="C43" s="14" t="s">
        <v>133</v>
      </c>
      <c r="D43" s="11">
        <f>D41+D40</f>
        <v>24500</v>
      </c>
    </row>
    <row r="44" spans="1:4">
      <c r="A44" s="59"/>
      <c r="B44" s="10" t="s">
        <v>21</v>
      </c>
      <c r="C44" s="14" t="s">
        <v>133</v>
      </c>
      <c r="D44" s="60">
        <f>D11-D43</f>
        <v>105100</v>
      </c>
    </row>
  </sheetData>
  <mergeCells count="6">
    <mergeCell ref="B39:D39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4"/>
  <sheetViews>
    <sheetView topLeftCell="A19" workbookViewId="0">
      <selection activeCell="F40" sqref="F40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984343.8600000001</v>
      </c>
    </row>
    <row r="9" spans="1:4">
      <c r="A9" s="9">
        <v>2</v>
      </c>
      <c r="B9" s="12" t="s">
        <v>6</v>
      </c>
      <c r="C9" s="14" t="s">
        <v>133</v>
      </c>
      <c r="D9" s="13">
        <f>12*10.64*4784.1</f>
        <v>610833.88800000004</v>
      </c>
    </row>
    <row r="10" spans="1:4">
      <c r="A10" s="9">
        <v>3</v>
      </c>
      <c r="B10" s="12" t="s">
        <v>7</v>
      </c>
      <c r="C10" s="14" t="s">
        <v>133</v>
      </c>
      <c r="D10" s="13">
        <f>12*3.91*4784.1</f>
        <v>224469.97200000004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12*135*92</f>
        <v>149040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12*1.93*4784.1</f>
        <v>110799.75600000001</v>
      </c>
    </row>
    <row r="15" spans="1:4">
      <c r="A15" s="9">
        <v>14</v>
      </c>
      <c r="B15" s="15" t="s">
        <v>10</v>
      </c>
      <c r="C15" s="14" t="s">
        <v>133</v>
      </c>
      <c r="D15" s="13">
        <f>12*1.55*4784.1</f>
        <v>88984.260000000009</v>
      </c>
    </row>
    <row r="16" spans="1:4">
      <c r="A16" s="9">
        <v>16</v>
      </c>
      <c r="B16" s="15" t="s">
        <v>12</v>
      </c>
      <c r="C16" s="14" t="s">
        <v>133</v>
      </c>
      <c r="D16" s="13">
        <f>12*1.65*4784.1</f>
        <v>94725.18</v>
      </c>
    </row>
    <row r="17" spans="1:4">
      <c r="A17" s="9">
        <v>19</v>
      </c>
      <c r="B17" s="15" t="s">
        <v>15</v>
      </c>
      <c r="C17" s="14" t="s">
        <v>133</v>
      </c>
      <c r="D17" s="13">
        <f>12*0.78*4784.1</f>
        <v>44779.175999999999</v>
      </c>
    </row>
    <row r="18" spans="1:4">
      <c r="A18" s="9">
        <v>20</v>
      </c>
      <c r="B18" s="15" t="s">
        <v>16</v>
      </c>
      <c r="C18" s="14" t="s">
        <v>133</v>
      </c>
      <c r="D18" s="13">
        <f>12*1.36*4784.1</f>
        <v>78076.512000000002</v>
      </c>
    </row>
    <row r="19" spans="1:4">
      <c r="A19" s="9">
        <v>21</v>
      </c>
      <c r="B19" s="15" t="s">
        <v>17</v>
      </c>
      <c r="C19" s="14" t="s">
        <v>133</v>
      </c>
      <c r="D19" s="13">
        <f>12*0.85*4784.1</f>
        <v>48797.82</v>
      </c>
    </row>
    <row r="20" spans="1:4">
      <c r="A20" s="9">
        <v>22</v>
      </c>
      <c r="B20" s="15" t="s">
        <v>18</v>
      </c>
      <c r="C20" s="14" t="s">
        <v>133</v>
      </c>
      <c r="D20" s="13">
        <f>12*2.49*4784.1</f>
        <v>142948.90800000002</v>
      </c>
    </row>
    <row r="21" spans="1:4">
      <c r="A21" s="9">
        <v>23</v>
      </c>
      <c r="B21" s="15" t="s">
        <v>19</v>
      </c>
      <c r="C21" s="14" t="s">
        <v>133</v>
      </c>
      <c r="D21" s="13">
        <f>12*0.029*4784.1</f>
        <v>1664.8668000000002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620776.47880000004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-9942.5908000000054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31</v>
      </c>
      <c r="B27" s="12" t="s">
        <v>25</v>
      </c>
      <c r="C27" s="14" t="s">
        <v>133</v>
      </c>
      <c r="D27" s="13">
        <v>2000</v>
      </c>
    </row>
    <row r="28" spans="1:4">
      <c r="A28" s="9">
        <v>33</v>
      </c>
      <c r="B28" s="12" t="s">
        <v>26</v>
      </c>
      <c r="C28" s="14" t="s">
        <v>133</v>
      </c>
      <c r="D28" s="13">
        <v>4500</v>
      </c>
    </row>
    <row r="29" spans="1:4">
      <c r="A29" s="9">
        <v>43</v>
      </c>
      <c r="B29" s="12" t="s">
        <v>32</v>
      </c>
      <c r="C29" s="14" t="s">
        <v>133</v>
      </c>
      <c r="D29" s="13">
        <v>5000</v>
      </c>
    </row>
    <row r="30" spans="1:4">
      <c r="A30" s="9">
        <v>60</v>
      </c>
      <c r="B30" s="12" t="s">
        <v>35</v>
      </c>
      <c r="C30" s="14" t="s">
        <v>133</v>
      </c>
      <c r="D30" s="13">
        <v>12000</v>
      </c>
    </row>
    <row r="31" spans="1:4">
      <c r="A31" s="9">
        <v>68</v>
      </c>
      <c r="B31" s="12" t="s">
        <v>150</v>
      </c>
      <c r="C31" s="14" t="s">
        <v>133</v>
      </c>
      <c r="D31" s="13">
        <v>8000</v>
      </c>
    </row>
    <row r="32" spans="1:4">
      <c r="A32" s="9">
        <v>84</v>
      </c>
      <c r="B32" s="12" t="s">
        <v>44</v>
      </c>
      <c r="C32" s="14" t="s">
        <v>133</v>
      </c>
      <c r="D32" s="13">
        <v>98000</v>
      </c>
    </row>
    <row r="33" spans="1:4">
      <c r="A33" s="9">
        <v>88</v>
      </c>
      <c r="B33" s="12" t="s">
        <v>46</v>
      </c>
      <c r="C33" s="14" t="s">
        <v>133</v>
      </c>
      <c r="D33" s="13">
        <v>45000</v>
      </c>
    </row>
    <row r="34" spans="1:4">
      <c r="A34" s="9">
        <v>96</v>
      </c>
      <c r="B34" s="12" t="s">
        <v>48</v>
      </c>
      <c r="C34" s="14" t="s">
        <v>133</v>
      </c>
      <c r="D34" s="13">
        <v>2500</v>
      </c>
    </row>
    <row r="35" spans="1:4">
      <c r="A35" s="9">
        <v>99</v>
      </c>
      <c r="B35" s="16" t="s">
        <v>20</v>
      </c>
      <c r="C35" s="14" t="s">
        <v>133</v>
      </c>
      <c r="D35" s="52">
        <f>D34+D33+D32+D31+D30+D29+D28+D27</f>
        <v>177000</v>
      </c>
    </row>
    <row r="36" spans="1:4">
      <c r="A36" s="9">
        <v>100</v>
      </c>
      <c r="B36" s="10" t="s">
        <v>21</v>
      </c>
      <c r="C36" s="14" t="s">
        <v>133</v>
      </c>
      <c r="D36" s="11">
        <f>D10-D35</f>
        <v>47469.972000000038</v>
      </c>
    </row>
    <row r="37" spans="1:4">
      <c r="A37" s="59"/>
      <c r="B37" s="72" t="s">
        <v>137</v>
      </c>
      <c r="C37" s="72"/>
      <c r="D37" s="72"/>
    </row>
    <row r="38" spans="1:4">
      <c r="A38" s="59"/>
      <c r="B38" s="9" t="s">
        <v>138</v>
      </c>
      <c r="C38" s="14" t="s">
        <v>133</v>
      </c>
      <c r="D38" s="63">
        <v>20000</v>
      </c>
    </row>
    <row r="39" spans="1:4">
      <c r="A39" s="59"/>
      <c r="B39" s="9" t="s">
        <v>139</v>
      </c>
      <c r="C39" s="14" t="s">
        <v>133</v>
      </c>
      <c r="D39" s="63">
        <v>4500</v>
      </c>
    </row>
    <row r="40" spans="1:4">
      <c r="A40" s="59"/>
      <c r="B40" s="9" t="s">
        <v>148</v>
      </c>
      <c r="C40" s="14" t="s">
        <v>133</v>
      </c>
      <c r="D40" s="63">
        <v>5000</v>
      </c>
    </row>
    <row r="41" spans="1:4">
      <c r="A41" s="59"/>
      <c r="B41" s="9" t="s">
        <v>152</v>
      </c>
      <c r="C41" s="14" t="s">
        <v>133</v>
      </c>
      <c r="D41" s="63">
        <v>25000</v>
      </c>
    </row>
    <row r="42" spans="1:4">
      <c r="A42" s="59"/>
      <c r="B42" s="9" t="s">
        <v>153</v>
      </c>
      <c r="C42" s="14" t="s">
        <v>133</v>
      </c>
      <c r="D42" s="63">
        <v>110000</v>
      </c>
    </row>
    <row r="43" spans="1:4">
      <c r="A43" s="59"/>
      <c r="B43" s="16" t="s">
        <v>20</v>
      </c>
      <c r="C43" s="14" t="s">
        <v>133</v>
      </c>
      <c r="D43" s="11">
        <f>D41+D40+D39+D38+D42</f>
        <v>164500</v>
      </c>
    </row>
    <row r="44" spans="1:4">
      <c r="A44" s="59"/>
      <c r="B44" s="10" t="s">
        <v>21</v>
      </c>
      <c r="C44" s="14" t="s">
        <v>133</v>
      </c>
      <c r="D44" s="60">
        <f>D11-D43</f>
        <v>-15460</v>
      </c>
    </row>
  </sheetData>
  <mergeCells count="6">
    <mergeCell ref="B37:D37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6"/>
  <sheetViews>
    <sheetView topLeftCell="A22" workbookViewId="0">
      <selection activeCell="D47" sqref="D47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468030.60000000003</v>
      </c>
    </row>
    <row r="9" spans="1:4">
      <c r="A9" s="9">
        <v>2</v>
      </c>
      <c r="B9" s="12" t="s">
        <v>6</v>
      </c>
      <c r="C9" s="14" t="s">
        <v>133</v>
      </c>
      <c r="D9" s="13">
        <f>12*10.64*2161</f>
        <v>275916.48000000004</v>
      </c>
    </row>
    <row r="10" spans="1:4">
      <c r="A10" s="9">
        <v>3</v>
      </c>
      <c r="B10" s="12" t="s">
        <v>7</v>
      </c>
      <c r="C10" s="14" t="s">
        <v>133</v>
      </c>
      <c r="D10" s="13">
        <f>12*3.91*2161</f>
        <v>101394.12000000001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12*135*56</f>
        <v>90720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12*1.93*2161</f>
        <v>50048.76</v>
      </c>
    </row>
    <row r="15" spans="1:4">
      <c r="A15" s="9">
        <v>14</v>
      </c>
      <c r="B15" s="15" t="s">
        <v>10</v>
      </c>
      <c r="C15" s="14" t="s">
        <v>133</v>
      </c>
      <c r="D15" s="13">
        <f>12*1.55*2161</f>
        <v>40194.600000000006</v>
      </c>
    </row>
    <row r="16" spans="1:4">
      <c r="A16" s="9">
        <v>16</v>
      </c>
      <c r="B16" s="15" t="s">
        <v>12</v>
      </c>
      <c r="C16" s="14" t="s">
        <v>133</v>
      </c>
      <c r="D16" s="13">
        <f>12*1.65*2161</f>
        <v>42787.799999999996</v>
      </c>
    </row>
    <row r="17" spans="1:4">
      <c r="A17" s="9">
        <v>19</v>
      </c>
      <c r="B17" s="15" t="s">
        <v>15</v>
      </c>
      <c r="C17" s="14" t="s">
        <v>133</v>
      </c>
      <c r="D17" s="13">
        <f>12*0.78*2161</f>
        <v>20226.96</v>
      </c>
    </row>
    <row r="18" spans="1:4">
      <c r="A18" s="9">
        <v>20</v>
      </c>
      <c r="B18" s="15" t="s">
        <v>16</v>
      </c>
      <c r="C18" s="14" t="s">
        <v>133</v>
      </c>
      <c r="D18" s="13">
        <f>12*1.36*2161</f>
        <v>35267.520000000004</v>
      </c>
    </row>
    <row r="19" spans="1:4">
      <c r="A19" s="9">
        <v>21</v>
      </c>
      <c r="B19" s="15" t="s">
        <v>17</v>
      </c>
      <c r="C19" s="14" t="s">
        <v>133</v>
      </c>
      <c r="D19" s="13">
        <f>12*0.85*2161</f>
        <v>22042.199999999997</v>
      </c>
    </row>
    <row r="20" spans="1:4">
      <c r="A20" s="9">
        <v>22</v>
      </c>
      <c r="B20" s="15" t="s">
        <v>18</v>
      </c>
      <c r="C20" s="14" t="s">
        <v>133</v>
      </c>
      <c r="D20" s="13">
        <f>12*2.49*2161</f>
        <v>64570.680000000008</v>
      </c>
    </row>
    <row r="21" spans="1:4">
      <c r="A21" s="9">
        <v>23</v>
      </c>
      <c r="B21" s="15" t="s">
        <v>19</v>
      </c>
      <c r="C21" s="14" t="s">
        <v>133</v>
      </c>
      <c r="D21" s="13">
        <f>12*0.029*2161</f>
        <v>752.02800000000002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285890.54800000001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-9974.0679999999702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5000</v>
      </c>
    </row>
    <row r="28" spans="1:4">
      <c r="A28" s="9">
        <v>33</v>
      </c>
      <c r="B28" s="12" t="s">
        <v>26</v>
      </c>
      <c r="C28" s="14" t="s">
        <v>133</v>
      </c>
      <c r="D28" s="13">
        <v>5000</v>
      </c>
    </row>
    <row r="29" spans="1:4">
      <c r="A29" s="9">
        <v>35</v>
      </c>
      <c r="B29" s="12" t="s">
        <v>28</v>
      </c>
      <c r="C29" s="14" t="s">
        <v>133</v>
      </c>
      <c r="D29" s="13">
        <v>4000</v>
      </c>
    </row>
    <row r="30" spans="1:4">
      <c r="A30" s="9">
        <v>40</v>
      </c>
      <c r="B30" s="12" t="s">
        <v>30</v>
      </c>
      <c r="C30" s="14" t="s">
        <v>133</v>
      </c>
      <c r="D30" s="13">
        <v>2000</v>
      </c>
    </row>
    <row r="31" spans="1:4">
      <c r="A31" s="9">
        <v>54</v>
      </c>
      <c r="B31" s="12" t="s">
        <v>34</v>
      </c>
      <c r="C31" s="14" t="s">
        <v>133</v>
      </c>
      <c r="D31" s="13">
        <v>5000</v>
      </c>
    </row>
    <row r="32" spans="1:4">
      <c r="A32" s="9">
        <v>63</v>
      </c>
      <c r="B32" s="12" t="s">
        <v>36</v>
      </c>
      <c r="C32" s="14" t="s">
        <v>133</v>
      </c>
      <c r="D32" s="13">
        <v>10000</v>
      </c>
    </row>
    <row r="33" spans="1:4" ht="24">
      <c r="A33" s="9">
        <v>64</v>
      </c>
      <c r="B33" s="17" t="s">
        <v>37</v>
      </c>
      <c r="C33" s="14" t="s">
        <v>133</v>
      </c>
      <c r="D33" s="13">
        <v>2500</v>
      </c>
    </row>
    <row r="34" spans="1:4">
      <c r="A34" s="9">
        <v>68</v>
      </c>
      <c r="B34" s="12" t="s">
        <v>150</v>
      </c>
      <c r="C34" s="14" t="s">
        <v>133</v>
      </c>
      <c r="D34" s="13">
        <v>5000</v>
      </c>
    </row>
    <row r="35" spans="1:4">
      <c r="A35" s="9">
        <v>75</v>
      </c>
      <c r="B35" s="12" t="s">
        <v>41</v>
      </c>
      <c r="C35" s="14" t="s">
        <v>133</v>
      </c>
      <c r="D35" s="13">
        <v>1500</v>
      </c>
    </row>
    <row r="36" spans="1:4">
      <c r="A36" s="9">
        <v>77</v>
      </c>
      <c r="B36" s="12" t="s">
        <v>43</v>
      </c>
      <c r="C36" s="14" t="s">
        <v>133</v>
      </c>
      <c r="D36" s="13">
        <v>44000</v>
      </c>
    </row>
    <row r="37" spans="1:4">
      <c r="A37" s="9">
        <v>84</v>
      </c>
      <c r="B37" s="12" t="s">
        <v>44</v>
      </c>
      <c r="C37" s="14" t="s">
        <v>133</v>
      </c>
      <c r="D37" s="13">
        <v>56000</v>
      </c>
    </row>
    <row r="38" spans="1:4">
      <c r="A38" s="9">
        <v>88</v>
      </c>
      <c r="B38" s="12" t="s">
        <v>46</v>
      </c>
      <c r="C38" s="14" t="s">
        <v>133</v>
      </c>
      <c r="D38" s="13">
        <v>15000</v>
      </c>
    </row>
    <row r="39" spans="1:4">
      <c r="A39" s="9">
        <v>99</v>
      </c>
      <c r="B39" s="16" t="s">
        <v>20</v>
      </c>
      <c r="C39" s="14" t="s">
        <v>133</v>
      </c>
      <c r="D39" s="13">
        <f>D38+D37+D36+D35+D34+D33+D32+D31+D30+D29+D28+D27</f>
        <v>155000</v>
      </c>
    </row>
    <row r="40" spans="1:4">
      <c r="A40" s="9">
        <v>100</v>
      </c>
      <c r="B40" s="10" t="s">
        <v>21</v>
      </c>
      <c r="C40" s="14" t="s">
        <v>133</v>
      </c>
      <c r="D40" s="11"/>
    </row>
    <row r="41" spans="1:4">
      <c r="A41" s="59"/>
      <c r="B41" s="72" t="s">
        <v>137</v>
      </c>
      <c r="C41" s="72"/>
      <c r="D41" s="72"/>
    </row>
    <row r="42" spans="1:4">
      <c r="A42" s="59"/>
      <c r="B42" s="9" t="s">
        <v>138</v>
      </c>
      <c r="C42" s="14" t="s">
        <v>133</v>
      </c>
      <c r="D42" s="63">
        <v>10000</v>
      </c>
    </row>
    <row r="43" spans="1:4">
      <c r="A43" s="59"/>
      <c r="B43" s="9" t="s">
        <v>139</v>
      </c>
      <c r="C43" s="14" t="s">
        <v>133</v>
      </c>
      <c r="D43" s="63">
        <v>4500</v>
      </c>
    </row>
    <row r="44" spans="1:4">
      <c r="A44" s="59"/>
      <c r="B44" s="9" t="s">
        <v>148</v>
      </c>
      <c r="C44" s="14"/>
      <c r="D44" s="63">
        <v>5000</v>
      </c>
    </row>
    <row r="45" spans="1:4">
      <c r="A45" s="59"/>
      <c r="B45" s="16" t="s">
        <v>20</v>
      </c>
      <c r="C45" s="14" t="s">
        <v>133</v>
      </c>
      <c r="D45" s="11">
        <f>D43+D42</f>
        <v>14500</v>
      </c>
    </row>
    <row r="46" spans="1:4">
      <c r="A46" s="59"/>
      <c r="B46" s="10" t="s">
        <v>21</v>
      </c>
      <c r="C46" s="14" t="s">
        <v>133</v>
      </c>
      <c r="D46" s="60">
        <f>D11-D45</f>
        <v>76220</v>
      </c>
    </row>
  </sheetData>
  <mergeCells count="6">
    <mergeCell ref="B41:D41"/>
    <mergeCell ref="B25:D25"/>
    <mergeCell ref="A2:D2"/>
    <mergeCell ref="B3:D3"/>
    <mergeCell ref="B5:D5"/>
    <mergeCell ref="B13:D13"/>
  </mergeCells>
  <dataValidations disablePrompts="1"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opLeftCell="A22" workbookViewId="0">
      <selection activeCell="B37" sqref="B37:D42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 ht="30" customHeight="1">
      <c r="A1" s="65" t="s">
        <v>0</v>
      </c>
      <c r="B1" s="65"/>
      <c r="C1" s="65"/>
      <c r="D1" s="65"/>
    </row>
    <row r="2" spans="1:4">
      <c r="A2" s="1"/>
      <c r="B2" s="1"/>
      <c r="C2" s="7"/>
      <c r="D2" s="7"/>
    </row>
    <row r="3" spans="1:4">
      <c r="A3" s="8" t="s">
        <v>1</v>
      </c>
      <c r="B3" s="8" t="s">
        <v>2</v>
      </c>
      <c r="C3" s="8" t="s">
        <v>3</v>
      </c>
      <c r="D3" s="8" t="s">
        <v>4</v>
      </c>
    </row>
    <row r="4" spans="1:4">
      <c r="A4" s="9">
        <v>1</v>
      </c>
      <c r="B4" s="10" t="s">
        <v>5</v>
      </c>
      <c r="C4" s="14" t="s">
        <v>133</v>
      </c>
      <c r="D4" s="11">
        <f>D5+D6+D7</f>
        <v>1096237.6200000001</v>
      </c>
    </row>
    <row r="5" spans="1:4">
      <c r="A5" s="9">
        <v>2</v>
      </c>
      <c r="B5" s="12" t="s">
        <v>6</v>
      </c>
      <c r="C5" s="14" t="s">
        <v>133</v>
      </c>
      <c r="D5" s="13">
        <f>12*10.64*5749.7</f>
        <v>734121.696</v>
      </c>
    </row>
    <row r="6" spans="1:4">
      <c r="A6" s="9">
        <v>3</v>
      </c>
      <c r="B6" s="12" t="s">
        <v>7</v>
      </c>
      <c r="C6" s="14" t="s">
        <v>133</v>
      </c>
      <c r="D6" s="13">
        <f>12*3.91*5749.7</f>
        <v>269775.924</v>
      </c>
    </row>
    <row r="7" spans="1:4" ht="24">
      <c r="A7" s="9">
        <v>4</v>
      </c>
      <c r="B7" s="19" t="s">
        <v>51</v>
      </c>
      <c r="C7" s="14" t="s">
        <v>133</v>
      </c>
      <c r="D7" s="13">
        <f>12*135*57</f>
        <v>92340</v>
      </c>
    </row>
    <row r="8" spans="1:4">
      <c r="A8" s="9">
        <v>11</v>
      </c>
      <c r="B8" s="9"/>
      <c r="C8" s="14"/>
      <c r="D8" s="14"/>
    </row>
    <row r="9" spans="1:4">
      <c r="A9" s="9">
        <v>12</v>
      </c>
      <c r="B9" s="69" t="s">
        <v>8</v>
      </c>
      <c r="C9" s="70"/>
      <c r="D9" s="71"/>
    </row>
    <row r="10" spans="1:4">
      <c r="A10" s="9">
        <v>13</v>
      </c>
      <c r="B10" s="15" t="s">
        <v>9</v>
      </c>
      <c r="C10" s="14" t="s">
        <v>133</v>
      </c>
      <c r="D10" s="13">
        <f>12*1.93*5749.7</f>
        <v>133163.052</v>
      </c>
    </row>
    <row r="11" spans="1:4">
      <c r="A11" s="9">
        <v>14</v>
      </c>
      <c r="B11" s="15" t="s">
        <v>10</v>
      </c>
      <c r="C11" s="14" t="s">
        <v>133</v>
      </c>
      <c r="D11" s="13">
        <f>12*1.55*5749.7</f>
        <v>106944.42</v>
      </c>
    </row>
    <row r="12" spans="1:4">
      <c r="A12" s="9">
        <v>16</v>
      </c>
      <c r="B12" s="15" t="s">
        <v>12</v>
      </c>
      <c r="C12" s="14" t="s">
        <v>133</v>
      </c>
      <c r="D12" s="13">
        <f>12*1.36*5749.7</f>
        <v>93835.103999999992</v>
      </c>
    </row>
    <row r="13" spans="1:4">
      <c r="A13" s="9">
        <v>19</v>
      </c>
      <c r="B13" s="15" t="s">
        <v>15</v>
      </c>
      <c r="C13" s="14" t="s">
        <v>133</v>
      </c>
      <c r="D13" s="13">
        <f>12*0.78*5749.7</f>
        <v>53817.191999999995</v>
      </c>
    </row>
    <row r="14" spans="1:4">
      <c r="A14" s="9">
        <v>20</v>
      </c>
      <c r="B14" s="15" t="s">
        <v>16</v>
      </c>
      <c r="C14" s="14" t="s">
        <v>133</v>
      </c>
      <c r="D14" s="13">
        <f>12*1.36*5749.7</f>
        <v>93835.103999999992</v>
      </c>
    </row>
    <row r="15" spans="1:4">
      <c r="A15" s="9">
        <v>21</v>
      </c>
      <c r="B15" s="15" t="s">
        <v>17</v>
      </c>
      <c r="C15" s="14" t="s">
        <v>133</v>
      </c>
      <c r="D15" s="13">
        <f>12*0.85*5749.7</f>
        <v>58646.939999999995</v>
      </c>
    </row>
    <row r="16" spans="1:4">
      <c r="A16" s="9">
        <v>22</v>
      </c>
      <c r="B16" s="15" t="s">
        <v>18</v>
      </c>
      <c r="C16" s="14" t="s">
        <v>133</v>
      </c>
      <c r="D16" s="13">
        <f>12*2.49*5749.7</f>
        <v>171801.03600000002</v>
      </c>
    </row>
    <row r="17" spans="1:4">
      <c r="A17" s="9">
        <v>23</v>
      </c>
      <c r="B17" s="15" t="s">
        <v>19</v>
      </c>
      <c r="C17" s="14" t="s">
        <v>133</v>
      </c>
      <c r="D17" s="13">
        <f>12*0.029*5749.7</f>
        <v>2000.8956000000001</v>
      </c>
    </row>
    <row r="18" spans="1:4">
      <c r="A18" s="9"/>
      <c r="B18" s="15" t="s">
        <v>141</v>
      </c>
      <c r="C18" s="14" t="s">
        <v>133</v>
      </c>
      <c r="D18" s="13">
        <v>10000</v>
      </c>
    </row>
    <row r="19" spans="1:4">
      <c r="A19" s="9">
        <v>25</v>
      </c>
      <c r="B19" s="16" t="s">
        <v>20</v>
      </c>
      <c r="C19" s="14" t="s">
        <v>133</v>
      </c>
      <c r="D19" s="11">
        <f>D18+D17+D16+D15+D14+D13+D12+D11+D10</f>
        <v>724043.74360000005</v>
      </c>
    </row>
    <row r="20" spans="1:4">
      <c r="A20" s="9">
        <v>26</v>
      </c>
      <c r="B20" s="10" t="s">
        <v>21</v>
      </c>
      <c r="C20" s="14" t="s">
        <v>133</v>
      </c>
      <c r="D20" s="11">
        <f>D5-D19</f>
        <v>10077.952399999951</v>
      </c>
    </row>
    <row r="21" spans="1:4">
      <c r="A21" s="9">
        <v>27</v>
      </c>
      <c r="B21" s="69" t="s">
        <v>22</v>
      </c>
      <c r="C21" s="70"/>
      <c r="D21" s="71"/>
    </row>
    <row r="22" spans="1:4">
      <c r="A22" s="9">
        <v>28</v>
      </c>
      <c r="B22" s="10" t="s">
        <v>23</v>
      </c>
      <c r="C22" s="14" t="s">
        <v>133</v>
      </c>
      <c r="D22" s="11"/>
    </row>
    <row r="23" spans="1:4">
      <c r="A23" s="9">
        <v>29</v>
      </c>
      <c r="B23" s="12" t="s">
        <v>24</v>
      </c>
      <c r="C23" s="14" t="s">
        <v>133</v>
      </c>
      <c r="D23" s="13">
        <v>4000</v>
      </c>
    </row>
    <row r="24" spans="1:4">
      <c r="A24" s="9">
        <v>31</v>
      </c>
      <c r="B24" s="12" t="s">
        <v>25</v>
      </c>
      <c r="C24" s="14" t="s">
        <v>133</v>
      </c>
      <c r="D24" s="13">
        <v>5000</v>
      </c>
    </row>
    <row r="25" spans="1:4">
      <c r="A25" s="9">
        <v>33</v>
      </c>
      <c r="B25" s="12" t="s">
        <v>26</v>
      </c>
      <c r="C25" s="14" t="s">
        <v>133</v>
      </c>
      <c r="D25" s="13">
        <v>4000</v>
      </c>
    </row>
    <row r="26" spans="1:4">
      <c r="A26" s="9">
        <v>34</v>
      </c>
      <c r="B26" s="12" t="s">
        <v>27</v>
      </c>
      <c r="C26" s="14" t="s">
        <v>133</v>
      </c>
      <c r="D26" s="13">
        <v>66000</v>
      </c>
    </row>
    <row r="27" spans="1:4">
      <c r="A27" s="9">
        <v>39</v>
      </c>
      <c r="B27" s="12" t="s">
        <v>29</v>
      </c>
      <c r="C27" s="14" t="s">
        <v>133</v>
      </c>
      <c r="D27" s="13">
        <v>5000</v>
      </c>
    </row>
    <row r="28" spans="1:4">
      <c r="A28" s="9">
        <v>40</v>
      </c>
      <c r="B28" s="12" t="s">
        <v>30</v>
      </c>
      <c r="C28" s="14" t="s">
        <v>133</v>
      </c>
      <c r="D28" s="13">
        <v>7000</v>
      </c>
    </row>
    <row r="29" spans="1:4">
      <c r="A29" s="9">
        <v>43</v>
      </c>
      <c r="B29" s="12" t="s">
        <v>32</v>
      </c>
      <c r="C29" s="14" t="s">
        <v>133</v>
      </c>
      <c r="D29" s="13">
        <v>8000</v>
      </c>
    </row>
    <row r="30" spans="1:4">
      <c r="A30" s="9">
        <v>44</v>
      </c>
      <c r="B30" s="12" t="s">
        <v>33</v>
      </c>
      <c r="C30" s="14" t="s">
        <v>133</v>
      </c>
      <c r="D30" s="13">
        <v>4000</v>
      </c>
    </row>
    <row r="31" spans="1:4">
      <c r="A31" s="9">
        <v>63</v>
      </c>
      <c r="B31" s="12" t="s">
        <v>36</v>
      </c>
      <c r="C31" s="14" t="s">
        <v>133</v>
      </c>
      <c r="D31" s="13">
        <v>2000</v>
      </c>
    </row>
    <row r="32" spans="1:4">
      <c r="A32" s="9">
        <v>76</v>
      </c>
      <c r="B32" s="12" t="s">
        <v>42</v>
      </c>
      <c r="C32" s="14" t="s">
        <v>133</v>
      </c>
      <c r="D32" s="13">
        <v>88000</v>
      </c>
    </row>
    <row r="33" spans="1:4">
      <c r="A33" s="9">
        <v>77</v>
      </c>
      <c r="B33" s="12" t="s">
        <v>43</v>
      </c>
      <c r="C33" s="14" t="s">
        <v>133</v>
      </c>
      <c r="D33" s="13">
        <v>3500</v>
      </c>
    </row>
    <row r="34" spans="1:4">
      <c r="A34" s="9">
        <v>81</v>
      </c>
      <c r="B34" s="12" t="s">
        <v>44</v>
      </c>
      <c r="C34" s="14" t="s">
        <v>133</v>
      </c>
      <c r="D34" s="13">
        <v>84000</v>
      </c>
    </row>
    <row r="35" spans="1:4">
      <c r="A35" s="9"/>
      <c r="B35" s="16" t="s">
        <v>20</v>
      </c>
      <c r="C35" s="14" t="s">
        <v>133</v>
      </c>
      <c r="D35" s="11">
        <f>D34+D32+D31+D30+D29+D28+D27+D26+D25+D24+D23</f>
        <v>277000</v>
      </c>
    </row>
    <row r="36" spans="1:4">
      <c r="A36" s="9">
        <v>100</v>
      </c>
      <c r="B36" s="10" t="s">
        <v>21</v>
      </c>
      <c r="C36" s="14" t="s">
        <v>133</v>
      </c>
      <c r="D36" s="60">
        <f>D6-D35</f>
        <v>-7224.0760000000009</v>
      </c>
    </row>
    <row r="37" spans="1:4">
      <c r="A37" s="9"/>
      <c r="B37" s="66" t="s">
        <v>137</v>
      </c>
      <c r="C37" s="67"/>
      <c r="D37" s="68"/>
    </row>
    <row r="38" spans="1:4">
      <c r="A38" s="9"/>
      <c r="B38" s="61" t="s">
        <v>138</v>
      </c>
      <c r="C38" s="14" t="s">
        <v>133</v>
      </c>
      <c r="D38" s="62">
        <v>30000</v>
      </c>
    </row>
    <row r="39" spans="1:4">
      <c r="A39" s="9"/>
      <c r="B39" s="61" t="s">
        <v>139</v>
      </c>
      <c r="C39" s="14" t="s">
        <v>133</v>
      </c>
      <c r="D39" s="62">
        <v>8000</v>
      </c>
    </row>
    <row r="40" spans="1:4">
      <c r="A40" s="9"/>
      <c r="B40" s="61" t="s">
        <v>140</v>
      </c>
      <c r="C40" s="14" t="s">
        <v>133</v>
      </c>
      <c r="D40" s="62">
        <v>10000</v>
      </c>
    </row>
    <row r="41" spans="1:4">
      <c r="A41" s="9"/>
      <c r="B41" s="16" t="s">
        <v>20</v>
      </c>
      <c r="C41" s="14" t="s">
        <v>133</v>
      </c>
      <c r="D41" s="11">
        <f>D39+D38+D40</f>
        <v>48000</v>
      </c>
    </row>
    <row r="42" spans="1:4">
      <c r="A42" s="59"/>
      <c r="B42" s="10" t="s">
        <v>21</v>
      </c>
      <c r="C42" s="14" t="s">
        <v>133</v>
      </c>
      <c r="D42" s="60">
        <f>D7-D41</f>
        <v>44340</v>
      </c>
    </row>
  </sheetData>
  <mergeCells count="4">
    <mergeCell ref="B21:D21"/>
    <mergeCell ref="A1:D1"/>
    <mergeCell ref="B9:D9"/>
    <mergeCell ref="B37:D3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4"/>
  <sheetViews>
    <sheetView topLeftCell="A25" workbookViewId="0">
      <selection activeCell="H47" sqref="H47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491078.7</v>
      </c>
    </row>
    <row r="9" spans="1:4">
      <c r="A9" s="9">
        <v>2</v>
      </c>
      <c r="B9" s="12" t="s">
        <v>6</v>
      </c>
      <c r="C9" s="14" t="s">
        <v>133</v>
      </c>
      <c r="D9" s="13">
        <f>12*10.64*2209.5</f>
        <v>282108.96000000002</v>
      </c>
    </row>
    <row r="10" spans="1:4">
      <c r="A10" s="9">
        <v>3</v>
      </c>
      <c r="B10" s="12" t="s">
        <v>7</v>
      </c>
      <c r="C10" s="14" t="s">
        <v>133</v>
      </c>
      <c r="D10" s="13">
        <f>12*3.91*2209.5</f>
        <v>103669.74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12*135*65</f>
        <v>105300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12*1.93*2209.5</f>
        <v>51172.02</v>
      </c>
    </row>
    <row r="15" spans="1:4">
      <c r="A15" s="9">
        <v>14</v>
      </c>
      <c r="B15" s="15" t="s">
        <v>10</v>
      </c>
      <c r="C15" s="14" t="s">
        <v>133</v>
      </c>
      <c r="D15" s="13">
        <f>12*1.55*2209.5</f>
        <v>41096.700000000004</v>
      </c>
    </row>
    <row r="16" spans="1:4">
      <c r="A16" s="9">
        <v>16</v>
      </c>
      <c r="B16" s="15" t="s">
        <v>12</v>
      </c>
      <c r="C16" s="14" t="s">
        <v>133</v>
      </c>
      <c r="D16" s="13">
        <f>12*1.65*2209.5</f>
        <v>43748.099999999991</v>
      </c>
    </row>
    <row r="17" spans="1:4">
      <c r="A17" s="9">
        <v>19</v>
      </c>
      <c r="B17" s="15" t="s">
        <v>15</v>
      </c>
      <c r="C17" s="14" t="s">
        <v>133</v>
      </c>
      <c r="D17" s="13">
        <f>12*0.78*2209.5</f>
        <v>20680.919999999998</v>
      </c>
    </row>
    <row r="18" spans="1:4">
      <c r="A18" s="9">
        <v>20</v>
      </c>
      <c r="B18" s="15" t="s">
        <v>16</v>
      </c>
      <c r="C18" s="14" t="s">
        <v>133</v>
      </c>
      <c r="D18" s="13">
        <f>12*1.36*2209.5</f>
        <v>36059.040000000001</v>
      </c>
    </row>
    <row r="19" spans="1:4">
      <c r="A19" s="9">
        <v>21</v>
      </c>
      <c r="B19" s="15" t="s">
        <v>17</v>
      </c>
      <c r="C19" s="14" t="s">
        <v>133</v>
      </c>
      <c r="D19" s="13">
        <f>12*0.85*2209.5</f>
        <v>22536.899999999998</v>
      </c>
    </row>
    <row r="20" spans="1:4">
      <c r="A20" s="9">
        <v>22</v>
      </c>
      <c r="B20" s="15" t="s">
        <v>18</v>
      </c>
      <c r="C20" s="14" t="s">
        <v>133</v>
      </c>
      <c r="D20" s="13">
        <f>12*2.49*2209.5</f>
        <v>66019.86</v>
      </c>
    </row>
    <row r="21" spans="1:4">
      <c r="A21" s="9">
        <v>23</v>
      </c>
      <c r="B21" s="15" t="s">
        <v>19</v>
      </c>
      <c r="C21" s="14" t="s">
        <v>133</v>
      </c>
      <c r="D21" s="13">
        <f>12*0.029*2209.5</f>
        <v>768.90600000000006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292082.446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-9973.4859999999753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31</v>
      </c>
      <c r="B27" s="12" t="s">
        <v>25</v>
      </c>
      <c r="C27" s="14" t="s">
        <v>133</v>
      </c>
      <c r="D27" s="13">
        <v>5000</v>
      </c>
    </row>
    <row r="28" spans="1:4">
      <c r="A28" s="9">
        <v>33</v>
      </c>
      <c r="B28" s="12" t="s">
        <v>26</v>
      </c>
      <c r="C28" s="14" t="s">
        <v>133</v>
      </c>
      <c r="D28" s="13">
        <v>4000</v>
      </c>
    </row>
    <row r="29" spans="1:4">
      <c r="A29" s="9">
        <v>40</v>
      </c>
      <c r="B29" s="12" t="s">
        <v>30</v>
      </c>
      <c r="C29" s="14" t="s">
        <v>133</v>
      </c>
      <c r="D29" s="13">
        <v>3000</v>
      </c>
    </row>
    <row r="30" spans="1:4">
      <c r="A30" s="9">
        <v>43</v>
      </c>
      <c r="B30" s="12" t="s">
        <v>32</v>
      </c>
      <c r="C30" s="14" t="s">
        <v>133</v>
      </c>
      <c r="D30" s="13">
        <v>8000</v>
      </c>
    </row>
    <row r="31" spans="1:4">
      <c r="A31" s="9">
        <v>60</v>
      </c>
      <c r="B31" s="12" t="s">
        <v>35</v>
      </c>
      <c r="C31" s="14" t="s">
        <v>133</v>
      </c>
      <c r="D31" s="13">
        <v>4500</v>
      </c>
    </row>
    <row r="32" spans="1:4" ht="24">
      <c r="A32" s="9">
        <v>64</v>
      </c>
      <c r="B32" s="17" t="s">
        <v>37</v>
      </c>
      <c r="C32" s="14" t="s">
        <v>133</v>
      </c>
      <c r="D32" s="13">
        <v>2500</v>
      </c>
    </row>
    <row r="33" spans="1:4">
      <c r="A33" s="9">
        <v>68</v>
      </c>
      <c r="B33" s="12" t="s">
        <v>150</v>
      </c>
      <c r="C33" s="14" t="s">
        <v>133</v>
      </c>
      <c r="D33" s="13">
        <v>5000</v>
      </c>
    </row>
    <row r="34" spans="1:4">
      <c r="A34" s="9">
        <v>75</v>
      </c>
      <c r="B34" s="12" t="s">
        <v>41</v>
      </c>
      <c r="C34" s="14" t="s">
        <v>133</v>
      </c>
      <c r="D34" s="13">
        <v>1000</v>
      </c>
    </row>
    <row r="35" spans="1:4">
      <c r="A35" s="9">
        <v>84</v>
      </c>
      <c r="B35" s="12" t="s">
        <v>44</v>
      </c>
      <c r="C35" s="14" t="s">
        <v>133</v>
      </c>
      <c r="D35" s="13">
        <v>56000</v>
      </c>
    </row>
    <row r="36" spans="1:4">
      <c r="A36" s="9">
        <v>88</v>
      </c>
      <c r="B36" s="12" t="s">
        <v>46</v>
      </c>
      <c r="C36" s="14" t="s">
        <v>133</v>
      </c>
      <c r="D36" s="13">
        <v>15000</v>
      </c>
    </row>
    <row r="37" spans="1:4">
      <c r="A37" s="9">
        <v>99</v>
      </c>
      <c r="B37" s="16" t="s">
        <v>20</v>
      </c>
      <c r="C37" s="14" t="s">
        <v>133</v>
      </c>
      <c r="D37" s="52">
        <f>D36+D35+D34+D33+D32+D31+D30+D29+D28+D27</f>
        <v>104000</v>
      </c>
    </row>
    <row r="38" spans="1:4">
      <c r="A38" s="9">
        <v>100</v>
      </c>
      <c r="B38" s="10" t="s">
        <v>21</v>
      </c>
      <c r="C38" s="14" t="s">
        <v>133</v>
      </c>
      <c r="D38" s="11">
        <f>D10-D37</f>
        <v>-330.25999999999476</v>
      </c>
    </row>
    <row r="39" spans="1:4">
      <c r="A39" s="59"/>
      <c r="B39" s="72" t="s">
        <v>137</v>
      </c>
      <c r="C39" s="72"/>
      <c r="D39" s="72"/>
    </row>
    <row r="40" spans="1:4">
      <c r="A40" s="59"/>
      <c r="B40" s="9" t="s">
        <v>138</v>
      </c>
      <c r="C40" s="14" t="s">
        <v>133</v>
      </c>
      <c r="D40" s="63">
        <v>10000</v>
      </c>
    </row>
    <row r="41" spans="1:4">
      <c r="A41" s="59"/>
      <c r="B41" s="9" t="s">
        <v>139</v>
      </c>
      <c r="C41" s="14" t="s">
        <v>133</v>
      </c>
      <c r="D41" s="63">
        <v>3500</v>
      </c>
    </row>
    <row r="42" spans="1:4">
      <c r="A42" s="59"/>
      <c r="B42" s="9" t="s">
        <v>148</v>
      </c>
      <c r="C42" s="14"/>
      <c r="D42" s="63">
        <v>4000</v>
      </c>
    </row>
    <row r="43" spans="1:4">
      <c r="A43" s="59"/>
      <c r="B43" s="16" t="s">
        <v>20</v>
      </c>
      <c r="C43" s="14" t="s">
        <v>133</v>
      </c>
      <c r="D43" s="11">
        <f>D41+D40</f>
        <v>13500</v>
      </c>
    </row>
    <row r="44" spans="1:4">
      <c r="A44" s="59"/>
      <c r="B44" s="10" t="s">
        <v>21</v>
      </c>
      <c r="C44" s="14" t="s">
        <v>133</v>
      </c>
      <c r="D44" s="60">
        <f>D11-D43</f>
        <v>91800</v>
      </c>
    </row>
  </sheetData>
  <mergeCells count="6">
    <mergeCell ref="B39:D39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5"/>
  <sheetViews>
    <sheetView topLeftCell="A16" workbookViewId="0">
      <selection activeCell="H32" sqref="H32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474962.22</v>
      </c>
    </row>
    <row r="9" spans="1:4">
      <c r="A9" s="9">
        <v>2</v>
      </c>
      <c r="B9" s="12" t="s">
        <v>6</v>
      </c>
      <c r="C9" s="14" t="s">
        <v>133</v>
      </c>
      <c r="D9" s="13">
        <f>12*10.64*2200.7</f>
        <v>280985.37599999999</v>
      </c>
    </row>
    <row r="10" spans="1:4">
      <c r="A10" s="9">
        <v>3</v>
      </c>
      <c r="B10" s="12" t="s">
        <v>7</v>
      </c>
      <c r="C10" s="14" t="s">
        <v>133</v>
      </c>
      <c r="D10" s="13">
        <f>12*3.91*2200.7</f>
        <v>103256.844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12*135*56</f>
        <v>90720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12*1.93*2200.7</f>
        <v>50968.212</v>
      </c>
    </row>
    <row r="15" spans="1:4">
      <c r="A15" s="9">
        <v>14</v>
      </c>
      <c r="B15" s="15" t="s">
        <v>10</v>
      </c>
      <c r="C15" s="14" t="s">
        <v>133</v>
      </c>
      <c r="D15" s="13">
        <f>12*1.55*2200.7</f>
        <v>40933.019999999997</v>
      </c>
    </row>
    <row r="16" spans="1:4">
      <c r="A16" s="9">
        <v>16</v>
      </c>
      <c r="B16" s="15" t="s">
        <v>12</v>
      </c>
      <c r="C16" s="14" t="s">
        <v>133</v>
      </c>
      <c r="D16" s="13">
        <f>12*1.65*2200.7</f>
        <v>43573.859999999993</v>
      </c>
    </row>
    <row r="17" spans="1:4">
      <c r="A17" s="9">
        <v>19</v>
      </c>
      <c r="B17" s="15" t="s">
        <v>15</v>
      </c>
      <c r="C17" s="14" t="s">
        <v>133</v>
      </c>
      <c r="D17" s="13">
        <f>12*0.78*2200.7</f>
        <v>20598.551999999996</v>
      </c>
    </row>
    <row r="18" spans="1:4">
      <c r="A18" s="9">
        <v>20</v>
      </c>
      <c r="B18" s="15" t="s">
        <v>16</v>
      </c>
      <c r="C18" s="14" t="s">
        <v>133</v>
      </c>
      <c r="D18" s="13">
        <f>12*1.36*2200.7</f>
        <v>35915.423999999999</v>
      </c>
    </row>
    <row r="19" spans="1:4">
      <c r="A19" s="9">
        <v>21</v>
      </c>
      <c r="B19" s="15" t="s">
        <v>17</v>
      </c>
      <c r="C19" s="14" t="s">
        <v>133</v>
      </c>
      <c r="D19" s="13">
        <f>12*0.85*2200.7</f>
        <v>22447.139999999996</v>
      </c>
    </row>
    <row r="20" spans="1:4">
      <c r="A20" s="9">
        <v>22</v>
      </c>
      <c r="B20" s="15" t="s">
        <v>18</v>
      </c>
      <c r="C20" s="14" t="s">
        <v>133</v>
      </c>
      <c r="D20" s="13">
        <f>12*2.49*2200.7</f>
        <v>65756.915999999997</v>
      </c>
    </row>
    <row r="21" spans="1:4">
      <c r="A21" s="9">
        <v>23</v>
      </c>
      <c r="B21" s="15" t="s">
        <v>19</v>
      </c>
      <c r="C21" s="14" t="s">
        <v>133</v>
      </c>
      <c r="D21" s="13">
        <f>12*0.029*2200.7</f>
        <v>765.84360000000004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290958.96759999997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-9973.5915999999852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31</v>
      </c>
      <c r="B27" s="12" t="s">
        <v>25</v>
      </c>
      <c r="C27" s="14" t="s">
        <v>133</v>
      </c>
      <c r="D27" s="13">
        <v>1500</v>
      </c>
    </row>
    <row r="28" spans="1:4">
      <c r="A28" s="9">
        <v>33</v>
      </c>
      <c r="B28" s="12" t="s">
        <v>26</v>
      </c>
      <c r="C28" s="14" t="s">
        <v>133</v>
      </c>
      <c r="D28" s="13">
        <v>4000</v>
      </c>
    </row>
    <row r="29" spans="1:4">
      <c r="A29" s="9">
        <v>35</v>
      </c>
      <c r="B29" s="12" t="s">
        <v>28</v>
      </c>
      <c r="C29" s="14" t="s">
        <v>133</v>
      </c>
      <c r="D29" s="13">
        <v>5000</v>
      </c>
    </row>
    <row r="30" spans="1:4">
      <c r="A30" s="9">
        <v>40</v>
      </c>
      <c r="B30" s="12" t="s">
        <v>30</v>
      </c>
      <c r="C30" s="14" t="s">
        <v>133</v>
      </c>
      <c r="D30" s="13">
        <v>4000</v>
      </c>
    </row>
    <row r="31" spans="1:4">
      <c r="A31" s="9">
        <v>43</v>
      </c>
      <c r="B31" s="12" t="s">
        <v>32</v>
      </c>
      <c r="C31" s="14" t="s">
        <v>133</v>
      </c>
      <c r="D31" s="13">
        <v>5000</v>
      </c>
    </row>
    <row r="32" spans="1:4" ht="24">
      <c r="A32" s="9">
        <v>64</v>
      </c>
      <c r="B32" s="17" t="s">
        <v>37</v>
      </c>
      <c r="C32" s="14" t="s">
        <v>133</v>
      </c>
      <c r="D32" s="13">
        <v>3000</v>
      </c>
    </row>
    <row r="33" spans="1:4">
      <c r="A33" s="9">
        <v>68</v>
      </c>
      <c r="B33" s="12" t="s">
        <v>150</v>
      </c>
      <c r="C33" s="14" t="s">
        <v>133</v>
      </c>
      <c r="D33" s="13">
        <v>6000</v>
      </c>
    </row>
    <row r="34" spans="1:4">
      <c r="A34" s="9">
        <v>75</v>
      </c>
      <c r="B34" s="12" t="s">
        <v>41</v>
      </c>
      <c r="C34" s="14" t="s">
        <v>133</v>
      </c>
      <c r="D34" s="13">
        <v>1500</v>
      </c>
    </row>
    <row r="35" spans="1:4">
      <c r="A35" s="9">
        <v>84</v>
      </c>
      <c r="B35" s="12" t="s">
        <v>44</v>
      </c>
      <c r="C35" s="14" t="s">
        <v>133</v>
      </c>
      <c r="D35" s="13">
        <v>56000</v>
      </c>
    </row>
    <row r="36" spans="1:4">
      <c r="A36" s="9">
        <v>88</v>
      </c>
      <c r="B36" s="12" t="s">
        <v>46</v>
      </c>
      <c r="C36" s="14" t="s">
        <v>133</v>
      </c>
      <c r="D36" s="13">
        <v>15000</v>
      </c>
    </row>
    <row r="37" spans="1:4">
      <c r="A37" s="9">
        <v>99</v>
      </c>
      <c r="B37" s="16" t="s">
        <v>20</v>
      </c>
      <c r="C37" s="14" t="s">
        <v>133</v>
      </c>
      <c r="D37" s="52">
        <f>D36+D35+D34+D33+D32+D31+D30+D29+D28+D27</f>
        <v>101000</v>
      </c>
    </row>
    <row r="38" spans="1:4">
      <c r="A38" s="9">
        <v>100</v>
      </c>
      <c r="B38" s="10" t="s">
        <v>21</v>
      </c>
      <c r="C38" s="14" t="s">
        <v>133</v>
      </c>
      <c r="D38" s="11">
        <f>D10-D37</f>
        <v>2256.8439999999973</v>
      </c>
    </row>
    <row r="39" spans="1:4">
      <c r="A39" s="59"/>
      <c r="B39" s="72" t="s">
        <v>137</v>
      </c>
      <c r="C39" s="72"/>
      <c r="D39" s="72"/>
    </row>
    <row r="40" spans="1:4">
      <c r="A40" s="59"/>
      <c r="B40" s="9" t="s">
        <v>138</v>
      </c>
      <c r="C40" s="14" t="s">
        <v>133</v>
      </c>
      <c r="D40" s="63">
        <v>15000</v>
      </c>
    </row>
    <row r="41" spans="1:4">
      <c r="A41" s="59"/>
      <c r="B41" s="9" t="s">
        <v>139</v>
      </c>
      <c r="C41" s="14" t="s">
        <v>133</v>
      </c>
      <c r="D41" s="63">
        <v>4500</v>
      </c>
    </row>
    <row r="42" spans="1:4">
      <c r="A42" s="59"/>
      <c r="B42" s="9" t="s">
        <v>148</v>
      </c>
      <c r="C42" s="14" t="s">
        <v>133</v>
      </c>
      <c r="D42" s="63">
        <v>5000</v>
      </c>
    </row>
    <row r="43" spans="1:4">
      <c r="A43" s="59"/>
      <c r="B43" s="9" t="s">
        <v>153</v>
      </c>
      <c r="C43" s="14" t="s">
        <v>133</v>
      </c>
      <c r="D43" s="63">
        <v>22500</v>
      </c>
    </row>
    <row r="44" spans="1:4">
      <c r="A44" s="59"/>
      <c r="B44" s="16" t="s">
        <v>20</v>
      </c>
      <c r="C44" s="14" t="s">
        <v>133</v>
      </c>
      <c r="D44" s="11">
        <f>D43+D42+D41+D40</f>
        <v>47000</v>
      </c>
    </row>
    <row r="45" spans="1:4">
      <c r="A45" s="59"/>
      <c r="B45" s="10" t="s">
        <v>21</v>
      </c>
      <c r="C45" s="14" t="s">
        <v>133</v>
      </c>
      <c r="D45" s="60">
        <f>D11-D44</f>
        <v>43720</v>
      </c>
    </row>
  </sheetData>
  <mergeCells count="6">
    <mergeCell ref="B39:D39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0"/>
  <sheetViews>
    <sheetView topLeftCell="A22" workbookViewId="0">
      <selection activeCell="E39" sqref="E39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475032.05999999994</v>
      </c>
    </row>
    <row r="9" spans="1:4">
      <c r="A9" s="9">
        <v>2</v>
      </c>
      <c r="B9" s="12" t="s">
        <v>6</v>
      </c>
      <c r="C9" s="14" t="s">
        <v>133</v>
      </c>
      <c r="D9" s="13">
        <f>12*10.64*2201.1</f>
        <v>281036.44799999997</v>
      </c>
    </row>
    <row r="10" spans="1:4">
      <c r="A10" s="9">
        <v>3</v>
      </c>
      <c r="B10" s="12" t="s">
        <v>7</v>
      </c>
      <c r="C10" s="14" t="s">
        <v>133</v>
      </c>
      <c r="D10" s="13">
        <f>12*3.91*2201.1</f>
        <v>103275.61199999999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12*135*56</f>
        <v>90720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12*1.93*2201.1</f>
        <v>50977.475999999995</v>
      </c>
    </row>
    <row r="15" spans="1:4">
      <c r="A15" s="9">
        <v>14</v>
      </c>
      <c r="B15" s="15" t="s">
        <v>10</v>
      </c>
      <c r="C15" s="14" t="s">
        <v>133</v>
      </c>
      <c r="D15" s="13">
        <f>12*1.55*2201.1</f>
        <v>40940.46</v>
      </c>
    </row>
    <row r="16" spans="1:4">
      <c r="A16" s="9">
        <v>16</v>
      </c>
      <c r="B16" s="15" t="s">
        <v>12</v>
      </c>
      <c r="C16" s="14" t="s">
        <v>133</v>
      </c>
      <c r="D16" s="13">
        <f>12*1.65*2201.1</f>
        <v>43581.779999999992</v>
      </c>
    </row>
    <row r="17" spans="1:4">
      <c r="A17" s="9">
        <v>19</v>
      </c>
      <c r="B17" s="15" t="s">
        <v>15</v>
      </c>
      <c r="C17" s="14" t="s">
        <v>133</v>
      </c>
      <c r="D17" s="13">
        <f>12*0.78*2201.1</f>
        <v>20602.295999999998</v>
      </c>
    </row>
    <row r="18" spans="1:4">
      <c r="A18" s="9">
        <v>20</v>
      </c>
      <c r="B18" s="15" t="s">
        <v>16</v>
      </c>
      <c r="C18" s="14" t="s">
        <v>133</v>
      </c>
      <c r="D18" s="13">
        <f>12*1.36*2201.1</f>
        <v>35921.951999999997</v>
      </c>
    </row>
    <row r="19" spans="1:4">
      <c r="A19" s="9">
        <v>21</v>
      </c>
      <c r="B19" s="15" t="s">
        <v>17</v>
      </c>
      <c r="C19" s="14" t="s">
        <v>133</v>
      </c>
      <c r="D19" s="13">
        <f>12*0.85*2201.1</f>
        <v>22451.219999999998</v>
      </c>
    </row>
    <row r="20" spans="1:4">
      <c r="A20" s="9">
        <v>22</v>
      </c>
      <c r="B20" s="15" t="s">
        <v>18</v>
      </c>
      <c r="C20" s="14" t="s">
        <v>133</v>
      </c>
      <c r="D20" s="13">
        <f>12*2.49*2201.1</f>
        <v>65768.868000000002</v>
      </c>
    </row>
    <row r="21" spans="1:4">
      <c r="A21" s="9">
        <v>23</v>
      </c>
      <c r="B21" s="15" t="s">
        <v>19</v>
      </c>
      <c r="C21" s="14" t="s">
        <v>133</v>
      </c>
      <c r="D21" s="13">
        <f>12*0.029*2201.1</f>
        <v>765.9828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291010.03480000002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-9973.5868000000482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2500</v>
      </c>
    </row>
    <row r="28" spans="1:4">
      <c r="A28" s="9">
        <v>31</v>
      </c>
      <c r="B28" s="12" t="s">
        <v>25</v>
      </c>
      <c r="C28" s="14" t="s">
        <v>133</v>
      </c>
      <c r="D28" s="13">
        <v>1000</v>
      </c>
    </row>
    <row r="29" spans="1:4">
      <c r="A29" s="9">
        <v>40</v>
      </c>
      <c r="B29" s="12" t="s">
        <v>30</v>
      </c>
      <c r="C29" s="14" t="s">
        <v>133</v>
      </c>
      <c r="D29" s="13">
        <v>2000</v>
      </c>
    </row>
    <row r="30" spans="1:4">
      <c r="A30" s="9">
        <v>75</v>
      </c>
      <c r="B30" s="12" t="s">
        <v>41</v>
      </c>
      <c r="C30" s="14" t="s">
        <v>133</v>
      </c>
      <c r="D30" s="13">
        <v>2000</v>
      </c>
    </row>
    <row r="31" spans="1:4">
      <c r="A31" s="9">
        <v>84</v>
      </c>
      <c r="B31" s="12" t="s">
        <v>44</v>
      </c>
      <c r="C31" s="14" t="s">
        <v>133</v>
      </c>
      <c r="D31" s="13">
        <v>56000</v>
      </c>
    </row>
    <row r="32" spans="1:4">
      <c r="A32" s="9">
        <v>99</v>
      </c>
      <c r="B32" s="16" t="s">
        <v>20</v>
      </c>
      <c r="C32" s="14" t="s">
        <v>133</v>
      </c>
      <c r="D32" s="52">
        <f>D31+D30+D29+D28+D27</f>
        <v>63500</v>
      </c>
    </row>
    <row r="33" spans="1:4">
      <c r="A33" s="9">
        <v>100</v>
      </c>
      <c r="B33" s="10" t="s">
        <v>21</v>
      </c>
      <c r="C33" s="14" t="s">
        <v>133</v>
      </c>
      <c r="D33" s="11">
        <f>D10-D32</f>
        <v>39775.611999999994</v>
      </c>
    </row>
    <row r="34" spans="1:4">
      <c r="A34" s="59"/>
      <c r="B34" s="72" t="s">
        <v>137</v>
      </c>
      <c r="C34" s="72"/>
      <c r="D34" s="72"/>
    </row>
    <row r="35" spans="1:4">
      <c r="A35" s="59"/>
      <c r="B35" s="9" t="s">
        <v>138</v>
      </c>
      <c r="C35" s="14" t="s">
        <v>133</v>
      </c>
      <c r="D35" s="63">
        <v>15000</v>
      </c>
    </row>
    <row r="36" spans="1:4">
      <c r="A36" s="59"/>
      <c r="B36" s="9" t="s">
        <v>139</v>
      </c>
      <c r="C36" s="14" t="s">
        <v>133</v>
      </c>
      <c r="D36" s="63">
        <v>4500</v>
      </c>
    </row>
    <row r="37" spans="1:4">
      <c r="A37" s="59"/>
      <c r="B37" s="9" t="s">
        <v>148</v>
      </c>
      <c r="C37" s="14" t="s">
        <v>133</v>
      </c>
      <c r="D37" s="63">
        <v>5000</v>
      </c>
    </row>
    <row r="38" spans="1:4">
      <c r="A38" s="59"/>
      <c r="B38" s="9" t="s">
        <v>153</v>
      </c>
      <c r="C38" s="14" t="s">
        <v>133</v>
      </c>
      <c r="D38" s="63">
        <v>22500</v>
      </c>
    </row>
    <row r="39" spans="1:4">
      <c r="A39" s="59"/>
      <c r="B39" s="16" t="s">
        <v>20</v>
      </c>
      <c r="C39" s="14" t="s">
        <v>133</v>
      </c>
      <c r="D39" s="11">
        <f>D38+D37+D36+D35</f>
        <v>47000</v>
      </c>
    </row>
    <row r="40" spans="1:4">
      <c r="A40" s="59"/>
      <c r="B40" s="10" t="s">
        <v>21</v>
      </c>
      <c r="C40" s="14" t="s">
        <v>133</v>
      </c>
      <c r="D40" s="60">
        <f>D11-D39</f>
        <v>43720</v>
      </c>
    </row>
  </sheetData>
  <mergeCells count="6">
    <mergeCell ref="B34:D34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5"/>
  <sheetViews>
    <sheetView topLeftCell="A25" workbookViewId="0">
      <selection activeCell="G37" sqref="G37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925578.18</v>
      </c>
    </row>
    <row r="9" spans="1:4">
      <c r="A9" s="9">
        <v>2</v>
      </c>
      <c r="B9" s="12" t="s">
        <v>6</v>
      </c>
      <c r="C9" s="14" t="s">
        <v>133</v>
      </c>
      <c r="D9" s="13">
        <f>12*10.64*4373.3</f>
        <v>558382.94400000002</v>
      </c>
    </row>
    <row r="10" spans="1:4">
      <c r="A10" s="9">
        <v>3</v>
      </c>
      <c r="B10" s="12" t="s">
        <v>7</v>
      </c>
      <c r="C10" s="14" t="s">
        <v>133</v>
      </c>
      <c r="D10" s="13">
        <f>12*3.91*4373.3</f>
        <v>205195.236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12*135*100</f>
        <v>162000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12*1.93*4373.3</f>
        <v>101285.62800000001</v>
      </c>
    </row>
    <row r="15" spans="1:4">
      <c r="A15" s="9">
        <v>14</v>
      </c>
      <c r="B15" s="15" t="s">
        <v>10</v>
      </c>
      <c r="C15" s="14" t="s">
        <v>133</v>
      </c>
      <c r="D15" s="13">
        <f>12*1.55*4373.3</f>
        <v>81343.38</v>
      </c>
    </row>
    <row r="16" spans="1:4">
      <c r="A16" s="9">
        <v>16</v>
      </c>
      <c r="B16" s="15" t="s">
        <v>12</v>
      </c>
      <c r="C16" s="14" t="s">
        <v>133</v>
      </c>
      <c r="D16" s="13">
        <f>12*1.65*4373.3</f>
        <v>86591.34</v>
      </c>
    </row>
    <row r="17" spans="1:4">
      <c r="A17" s="9">
        <v>19</v>
      </c>
      <c r="B17" s="15" t="s">
        <v>15</v>
      </c>
      <c r="C17" s="14" t="s">
        <v>133</v>
      </c>
      <c r="D17" s="13">
        <f>12*0.78*4373.3</f>
        <v>40934.087999999996</v>
      </c>
    </row>
    <row r="18" spans="1:4">
      <c r="A18" s="9">
        <v>20</v>
      </c>
      <c r="B18" s="15" t="s">
        <v>16</v>
      </c>
      <c r="C18" s="14" t="s">
        <v>133</v>
      </c>
      <c r="D18" s="13">
        <f>12*1.36*4373.3</f>
        <v>71372.256000000008</v>
      </c>
    </row>
    <row r="19" spans="1:4">
      <c r="A19" s="9">
        <v>21</v>
      </c>
      <c r="B19" s="15" t="s">
        <v>17</v>
      </c>
      <c r="C19" s="14" t="s">
        <v>133</v>
      </c>
      <c r="D19" s="13">
        <f>12*0.85*4373.3</f>
        <v>44607.659999999996</v>
      </c>
    </row>
    <row r="20" spans="1:4">
      <c r="A20" s="9">
        <v>22</v>
      </c>
      <c r="B20" s="15" t="s">
        <v>18</v>
      </c>
      <c r="C20" s="14" t="s">
        <v>133</v>
      </c>
      <c r="D20" s="13">
        <f>12*2.49*4373.3</f>
        <v>130674.20400000001</v>
      </c>
    </row>
    <row r="21" spans="1:4">
      <c r="A21" s="9">
        <v>23</v>
      </c>
      <c r="B21" s="15" t="s">
        <v>19</v>
      </c>
      <c r="C21" s="14" t="s">
        <v>133</v>
      </c>
      <c r="D21" s="13">
        <f>12*0.029*4373.3</f>
        <v>1521.9084000000003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568330.46440000006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-9947.5204000000376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4000</v>
      </c>
    </row>
    <row r="28" spans="1:4">
      <c r="A28" s="9">
        <v>33</v>
      </c>
      <c r="B28" s="12" t="s">
        <v>26</v>
      </c>
      <c r="C28" s="14" t="s">
        <v>133</v>
      </c>
      <c r="D28" s="13">
        <v>8000</v>
      </c>
    </row>
    <row r="29" spans="1:4">
      <c r="A29" s="9">
        <v>40</v>
      </c>
      <c r="B29" s="12" t="s">
        <v>30</v>
      </c>
      <c r="C29" s="14" t="s">
        <v>133</v>
      </c>
      <c r="D29" s="13">
        <v>3000</v>
      </c>
    </row>
    <row r="30" spans="1:4">
      <c r="A30" s="9">
        <v>60</v>
      </c>
      <c r="B30" s="12" t="s">
        <v>35</v>
      </c>
      <c r="C30" s="14" t="s">
        <v>133</v>
      </c>
      <c r="D30" s="13">
        <v>5000</v>
      </c>
    </row>
    <row r="31" spans="1:4">
      <c r="A31" s="9">
        <v>63</v>
      </c>
      <c r="B31" s="12" t="s">
        <v>36</v>
      </c>
      <c r="C31" s="14" t="s">
        <v>133</v>
      </c>
      <c r="D31" s="13">
        <v>80000</v>
      </c>
    </row>
    <row r="32" spans="1:4">
      <c r="A32" s="9">
        <v>68</v>
      </c>
      <c r="B32" s="12" t="s">
        <v>150</v>
      </c>
      <c r="C32" s="14" t="s">
        <v>133</v>
      </c>
      <c r="D32" s="13">
        <v>9000</v>
      </c>
    </row>
    <row r="33" spans="1:4">
      <c r="A33" s="9">
        <v>75</v>
      </c>
      <c r="B33" s="12" t="s">
        <v>41</v>
      </c>
      <c r="C33" s="14" t="s">
        <v>133</v>
      </c>
      <c r="D33" s="13">
        <v>4000</v>
      </c>
    </row>
    <row r="34" spans="1:4">
      <c r="A34" s="9"/>
      <c r="B34" s="12" t="s">
        <v>154</v>
      </c>
      <c r="C34" s="14" t="s">
        <v>133</v>
      </c>
      <c r="D34" s="13">
        <v>112000</v>
      </c>
    </row>
    <row r="35" spans="1:4">
      <c r="A35" s="9">
        <v>77</v>
      </c>
      <c r="B35" s="12" t="s">
        <v>43</v>
      </c>
      <c r="C35" s="14" t="s">
        <v>133</v>
      </c>
      <c r="D35" s="13">
        <v>11000</v>
      </c>
    </row>
    <row r="36" spans="1:4">
      <c r="A36" s="9">
        <v>88</v>
      </c>
      <c r="B36" s="12" t="s">
        <v>46</v>
      </c>
      <c r="C36" s="14" t="s">
        <v>133</v>
      </c>
      <c r="D36" s="13">
        <v>60000</v>
      </c>
    </row>
    <row r="37" spans="1:4">
      <c r="A37" s="9">
        <v>99</v>
      </c>
      <c r="B37" s="16" t="s">
        <v>20</v>
      </c>
      <c r="C37" s="14" t="s">
        <v>133</v>
      </c>
      <c r="D37" s="13">
        <f>D36+D35+D33+D32+D31+D30+D29+D28+D27+D34</f>
        <v>296000</v>
      </c>
    </row>
    <row r="38" spans="1:4">
      <c r="A38" s="9">
        <v>100</v>
      </c>
      <c r="B38" s="10" t="s">
        <v>21</v>
      </c>
      <c r="C38" s="14" t="s">
        <v>133</v>
      </c>
      <c r="D38" s="11">
        <f>D10-D37</f>
        <v>-90804.763999999996</v>
      </c>
    </row>
    <row r="39" spans="1:4">
      <c r="A39" s="59"/>
      <c r="B39" s="72" t="s">
        <v>137</v>
      </c>
      <c r="C39" s="72"/>
      <c r="D39" s="72"/>
    </row>
    <row r="40" spans="1:4">
      <c r="A40" s="59"/>
      <c r="B40" s="9" t="s">
        <v>138</v>
      </c>
      <c r="C40" s="14" t="s">
        <v>133</v>
      </c>
      <c r="D40" s="63">
        <v>30000</v>
      </c>
    </row>
    <row r="41" spans="1:4">
      <c r="A41" s="59"/>
      <c r="B41" s="9" t="s">
        <v>139</v>
      </c>
      <c r="C41" s="14" t="s">
        <v>133</v>
      </c>
      <c r="D41" s="63">
        <v>5000</v>
      </c>
    </row>
    <row r="42" spans="1:4">
      <c r="A42" s="59"/>
      <c r="B42" s="9" t="s">
        <v>148</v>
      </c>
      <c r="C42" s="14" t="s">
        <v>133</v>
      </c>
      <c r="D42" s="63">
        <v>5000</v>
      </c>
    </row>
    <row r="43" spans="1:4">
      <c r="A43" s="59"/>
      <c r="B43" s="9" t="s">
        <v>153</v>
      </c>
      <c r="C43" s="14" t="s">
        <v>133</v>
      </c>
      <c r="D43" s="63">
        <v>35000</v>
      </c>
    </row>
    <row r="44" spans="1:4">
      <c r="A44" s="59"/>
      <c r="B44" s="16" t="s">
        <v>20</v>
      </c>
      <c r="C44" s="14" t="s">
        <v>133</v>
      </c>
      <c r="D44" s="11">
        <f>D43+D42+D41+D40</f>
        <v>75000</v>
      </c>
    </row>
    <row r="45" spans="1:4">
      <c r="A45" s="59"/>
      <c r="B45" s="10" t="s">
        <v>21</v>
      </c>
      <c r="C45" s="14" t="s">
        <v>133</v>
      </c>
      <c r="D45" s="60">
        <f>D11-D44</f>
        <v>87000</v>
      </c>
    </row>
  </sheetData>
  <mergeCells count="6">
    <mergeCell ref="B39:D39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1"/>
  <sheetViews>
    <sheetView topLeftCell="A13" workbookViewId="0">
      <selection activeCell="J43" sqref="J43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594981.72</v>
      </c>
    </row>
    <row r="9" spans="1:4">
      <c r="A9" s="9">
        <v>2</v>
      </c>
      <c r="B9" s="12" t="s">
        <v>6</v>
      </c>
      <c r="C9" s="14" t="s">
        <v>133</v>
      </c>
      <c r="D9" s="13">
        <f>12*10.64*2758.2</f>
        <v>352166.97600000002</v>
      </c>
    </row>
    <row r="10" spans="1:4">
      <c r="A10" s="9">
        <v>3</v>
      </c>
      <c r="B10" s="12" t="s">
        <v>7</v>
      </c>
      <c r="C10" s="14" t="s">
        <v>133</v>
      </c>
      <c r="D10" s="13">
        <f>12*3.91*2758.2</f>
        <v>129414.74399999999</v>
      </c>
    </row>
    <row r="11" spans="1:4" ht="24">
      <c r="A11" s="9">
        <v>4</v>
      </c>
      <c r="B11" s="54" t="s">
        <v>51</v>
      </c>
      <c r="C11" s="55" t="s">
        <v>133</v>
      </c>
      <c r="D11" s="56">
        <f>12*135*70</f>
        <v>113400</v>
      </c>
    </row>
    <row r="12" spans="1:4">
      <c r="A12" s="9">
        <v>11</v>
      </c>
      <c r="B12" s="57"/>
      <c r="C12" s="55"/>
      <c r="D12" s="55"/>
    </row>
    <row r="13" spans="1:4">
      <c r="A13" s="9">
        <v>12</v>
      </c>
      <c r="B13" s="75" t="s">
        <v>8</v>
      </c>
      <c r="C13" s="76"/>
      <c r="D13" s="77"/>
    </row>
    <row r="14" spans="1:4">
      <c r="A14" s="9">
        <v>13</v>
      </c>
      <c r="B14" s="58" t="s">
        <v>9</v>
      </c>
      <c r="C14" s="55" t="s">
        <v>133</v>
      </c>
      <c r="D14" s="56">
        <f>12*1.93*2758.2</f>
        <v>63879.911999999997</v>
      </c>
    </row>
    <row r="15" spans="1:4">
      <c r="A15" s="9">
        <v>14</v>
      </c>
      <c r="B15" s="58" t="s">
        <v>10</v>
      </c>
      <c r="C15" s="55" t="s">
        <v>133</v>
      </c>
      <c r="D15" s="56">
        <f>12*1.55*2758.2</f>
        <v>51302.520000000004</v>
      </c>
    </row>
    <row r="16" spans="1:4">
      <c r="A16" s="9">
        <v>16</v>
      </c>
      <c r="B16" s="58" t="s">
        <v>12</v>
      </c>
      <c r="C16" s="55" t="s">
        <v>133</v>
      </c>
      <c r="D16" s="56">
        <f>12*1.65*2758.2</f>
        <v>54612.359999999986</v>
      </c>
    </row>
    <row r="17" spans="1:4">
      <c r="A17" s="9">
        <v>19</v>
      </c>
      <c r="B17" s="58" t="s">
        <v>15</v>
      </c>
      <c r="C17" s="55" t="s">
        <v>133</v>
      </c>
      <c r="D17" s="56">
        <f>12*0.78*2758.2</f>
        <v>25816.751999999997</v>
      </c>
    </row>
    <row r="18" spans="1:4">
      <c r="A18" s="9">
        <v>20</v>
      </c>
      <c r="B18" s="58" t="s">
        <v>16</v>
      </c>
      <c r="C18" s="55" t="s">
        <v>133</v>
      </c>
      <c r="D18" s="56">
        <f>12*1.36*2758.2</f>
        <v>45013.824000000001</v>
      </c>
    </row>
    <row r="19" spans="1:4">
      <c r="A19" s="9">
        <v>21</v>
      </c>
      <c r="B19" s="58" t="s">
        <v>17</v>
      </c>
      <c r="C19" s="55" t="s">
        <v>133</v>
      </c>
      <c r="D19" s="56">
        <f>12*0.85*2758.2</f>
        <v>28133.639999999996</v>
      </c>
    </row>
    <row r="20" spans="1:4">
      <c r="A20" s="9">
        <v>22</v>
      </c>
      <c r="B20" s="58" t="s">
        <v>18</v>
      </c>
      <c r="C20" s="55" t="s">
        <v>133</v>
      </c>
      <c r="D20" s="56">
        <f>12*2.49*2758.2</f>
        <v>82415.016000000003</v>
      </c>
    </row>
    <row r="21" spans="1:4">
      <c r="A21" s="9">
        <v>23</v>
      </c>
      <c r="B21" s="58" t="s">
        <v>19</v>
      </c>
      <c r="C21" s="55" t="s">
        <v>133</v>
      </c>
      <c r="D21" s="56">
        <f>12*0.029*2758.2</f>
        <v>959.85360000000003</v>
      </c>
    </row>
    <row r="22" spans="1:4">
      <c r="A22" s="9">
        <v>24</v>
      </c>
      <c r="B22" s="54" t="s">
        <v>141</v>
      </c>
      <c r="C22" s="55" t="s">
        <v>133</v>
      </c>
      <c r="D22" s="56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362133.87760000001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-9966.9015999999829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1000</v>
      </c>
    </row>
    <row r="28" spans="1:4">
      <c r="A28" s="9">
        <v>31</v>
      </c>
      <c r="B28" s="12" t="s">
        <v>25</v>
      </c>
      <c r="C28" s="14" t="s">
        <v>133</v>
      </c>
      <c r="D28" s="13">
        <v>500</v>
      </c>
    </row>
    <row r="29" spans="1:4">
      <c r="A29" s="9">
        <v>33</v>
      </c>
      <c r="B29" s="12" t="s">
        <v>26</v>
      </c>
      <c r="C29" s="14" t="s">
        <v>133</v>
      </c>
      <c r="D29" s="13">
        <v>3000</v>
      </c>
    </row>
    <row r="30" spans="1:4">
      <c r="A30" s="9"/>
      <c r="B30" s="12" t="s">
        <v>143</v>
      </c>
      <c r="C30" s="14" t="s">
        <v>133</v>
      </c>
      <c r="D30" s="13">
        <v>1500</v>
      </c>
    </row>
    <row r="31" spans="1:4">
      <c r="A31" s="9">
        <v>84</v>
      </c>
      <c r="B31" s="12" t="s">
        <v>44</v>
      </c>
      <c r="C31" s="14" t="s">
        <v>133</v>
      </c>
      <c r="D31" s="13">
        <v>42000</v>
      </c>
    </row>
    <row r="32" spans="1:4">
      <c r="A32" s="9">
        <v>88</v>
      </c>
      <c r="B32" s="12" t="s">
        <v>46</v>
      </c>
      <c r="C32" s="14" t="s">
        <v>133</v>
      </c>
      <c r="D32" s="13">
        <v>70000</v>
      </c>
    </row>
    <row r="33" spans="1:4">
      <c r="A33" s="9">
        <v>96</v>
      </c>
      <c r="B33" s="12" t="s">
        <v>48</v>
      </c>
      <c r="C33" s="14" t="s">
        <v>133</v>
      </c>
      <c r="D33" s="13">
        <v>2000</v>
      </c>
    </row>
    <row r="34" spans="1:4">
      <c r="A34" s="9">
        <v>99</v>
      </c>
      <c r="B34" s="16" t="s">
        <v>20</v>
      </c>
      <c r="C34" s="14" t="s">
        <v>133</v>
      </c>
      <c r="D34" s="13">
        <f>D33+D32+D31+D29+D28+D27+D30</f>
        <v>120000</v>
      </c>
    </row>
    <row r="35" spans="1:4">
      <c r="A35" s="9">
        <v>100</v>
      </c>
      <c r="B35" s="10" t="s">
        <v>21</v>
      </c>
      <c r="C35" s="14" t="s">
        <v>133</v>
      </c>
      <c r="D35" s="11">
        <f>D10-D34</f>
        <v>9414.7439999999915</v>
      </c>
    </row>
    <row r="36" spans="1:4">
      <c r="A36" s="59"/>
      <c r="B36" s="72" t="s">
        <v>137</v>
      </c>
      <c r="C36" s="72"/>
      <c r="D36" s="72"/>
    </row>
    <row r="37" spans="1:4">
      <c r="A37" s="59"/>
      <c r="B37" s="9" t="s">
        <v>138</v>
      </c>
      <c r="C37" s="14" t="s">
        <v>133</v>
      </c>
      <c r="D37" s="63">
        <v>10000</v>
      </c>
    </row>
    <row r="38" spans="1:4">
      <c r="A38" s="59"/>
      <c r="B38" s="9" t="s">
        <v>139</v>
      </c>
      <c r="C38" s="14" t="s">
        <v>133</v>
      </c>
      <c r="D38" s="63">
        <v>25000</v>
      </c>
    </row>
    <row r="39" spans="1:4">
      <c r="A39" s="59"/>
      <c r="B39" s="9" t="s">
        <v>148</v>
      </c>
      <c r="C39" s="14" t="s">
        <v>133</v>
      </c>
      <c r="D39" s="63">
        <v>5000</v>
      </c>
    </row>
    <row r="40" spans="1:4">
      <c r="A40" s="59"/>
      <c r="B40" s="16" t="s">
        <v>20</v>
      </c>
      <c r="C40" s="14" t="s">
        <v>133</v>
      </c>
      <c r="D40" s="11">
        <f>D39+D38+D37</f>
        <v>40000</v>
      </c>
    </row>
    <row r="41" spans="1:4">
      <c r="A41" s="59"/>
      <c r="B41" s="10" t="s">
        <v>21</v>
      </c>
      <c r="C41" s="14" t="s">
        <v>133</v>
      </c>
      <c r="D41" s="60">
        <f>D11-D40</f>
        <v>73400</v>
      </c>
    </row>
  </sheetData>
  <mergeCells count="6">
    <mergeCell ref="B36:D36"/>
    <mergeCell ref="A2:D2"/>
    <mergeCell ref="B3:D3"/>
    <mergeCell ref="B5:D5"/>
    <mergeCell ref="B13:D13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2"/>
  <sheetViews>
    <sheetView topLeftCell="A28" workbookViewId="0">
      <selection activeCell="B40" sqref="B40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233617.5</v>
      </c>
    </row>
    <row r="9" spans="1:4">
      <c r="A9" s="9">
        <v>2</v>
      </c>
      <c r="B9" s="12" t="s">
        <v>6</v>
      </c>
      <c r="C9" s="14" t="s">
        <v>133</v>
      </c>
      <c r="D9" s="13">
        <f>12*10.64*1087.5</f>
        <v>138852</v>
      </c>
    </row>
    <row r="10" spans="1:4">
      <c r="A10" s="9">
        <v>3</v>
      </c>
      <c r="B10" s="12" t="s">
        <v>7</v>
      </c>
      <c r="C10" s="14" t="s">
        <v>133</v>
      </c>
      <c r="D10" s="13">
        <f>12*3.91*1087.5</f>
        <v>51025.5</v>
      </c>
    </row>
    <row r="11" spans="1:4" ht="24">
      <c r="A11" s="9">
        <v>4</v>
      </c>
      <c r="B11" s="54" t="s">
        <v>51</v>
      </c>
      <c r="C11" s="55" t="s">
        <v>133</v>
      </c>
      <c r="D11" s="56">
        <f>12*135*27</f>
        <v>43740</v>
      </c>
    </row>
    <row r="12" spans="1:4">
      <c r="A12" s="9">
        <v>11</v>
      </c>
      <c r="B12" s="57"/>
      <c r="C12" s="55"/>
      <c r="D12" s="55"/>
    </row>
    <row r="13" spans="1:4">
      <c r="A13" s="9">
        <v>12</v>
      </c>
      <c r="B13" s="75" t="s">
        <v>8</v>
      </c>
      <c r="C13" s="76"/>
      <c r="D13" s="77"/>
    </row>
    <row r="14" spans="1:4">
      <c r="A14" s="9">
        <v>13</v>
      </c>
      <c r="B14" s="58" t="s">
        <v>9</v>
      </c>
      <c r="C14" s="55" t="s">
        <v>133</v>
      </c>
      <c r="D14" s="56">
        <f>12*1.93*1087.5</f>
        <v>25186.5</v>
      </c>
    </row>
    <row r="15" spans="1:4">
      <c r="A15" s="9">
        <v>14</v>
      </c>
      <c r="B15" s="58" t="s">
        <v>10</v>
      </c>
      <c r="C15" s="55" t="s">
        <v>133</v>
      </c>
      <c r="D15" s="56">
        <f>12*1.55*1087.5</f>
        <v>20227.5</v>
      </c>
    </row>
    <row r="16" spans="1:4">
      <c r="A16" s="9">
        <v>16</v>
      </c>
      <c r="B16" s="58" t="s">
        <v>12</v>
      </c>
      <c r="C16" s="55" t="s">
        <v>133</v>
      </c>
      <c r="D16" s="56">
        <f>12*1.65*1087.5</f>
        <v>21532.499999999996</v>
      </c>
    </row>
    <row r="17" spans="1:4">
      <c r="A17" s="9">
        <v>19</v>
      </c>
      <c r="B17" s="58" t="s">
        <v>15</v>
      </c>
      <c r="C17" s="55" t="s">
        <v>133</v>
      </c>
      <c r="D17" s="56">
        <f>12*0.78*1087.5</f>
        <v>10179</v>
      </c>
    </row>
    <row r="18" spans="1:4">
      <c r="A18" s="9">
        <v>20</v>
      </c>
      <c r="B18" s="58" t="s">
        <v>16</v>
      </c>
      <c r="C18" s="55" t="s">
        <v>133</v>
      </c>
      <c r="D18" s="56">
        <f>12*1.36*1087.5</f>
        <v>17748</v>
      </c>
    </row>
    <row r="19" spans="1:4">
      <c r="A19" s="9">
        <v>21</v>
      </c>
      <c r="B19" s="58" t="s">
        <v>17</v>
      </c>
      <c r="C19" s="55" t="s">
        <v>133</v>
      </c>
      <c r="D19" s="56">
        <f>12*0.85*1087.5</f>
        <v>11092.5</v>
      </c>
    </row>
    <row r="20" spans="1:4">
      <c r="A20" s="9">
        <v>22</v>
      </c>
      <c r="B20" s="58" t="s">
        <v>18</v>
      </c>
      <c r="C20" s="55" t="s">
        <v>133</v>
      </c>
      <c r="D20" s="56">
        <f>12*2.49*1087.5</f>
        <v>32494.500000000004</v>
      </c>
    </row>
    <row r="21" spans="1:4">
      <c r="A21" s="9">
        <v>23</v>
      </c>
      <c r="B21" s="58" t="s">
        <v>19</v>
      </c>
      <c r="C21" s="55" t="s">
        <v>133</v>
      </c>
      <c r="D21" s="56">
        <f>12*0.029*1087.5</f>
        <v>378.45000000000005</v>
      </c>
    </row>
    <row r="22" spans="1:4">
      <c r="A22" s="9">
        <v>24</v>
      </c>
      <c r="B22" s="54" t="s">
        <v>141</v>
      </c>
      <c r="C22" s="55" t="s">
        <v>133</v>
      </c>
      <c r="D22" s="56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148838.95000000001</v>
      </c>
    </row>
    <row r="24" spans="1:4">
      <c r="A24" s="9">
        <v>26</v>
      </c>
      <c r="B24" s="10" t="s">
        <v>21</v>
      </c>
      <c r="C24" s="14" t="s">
        <v>133</v>
      </c>
      <c r="D24" s="11"/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3000</v>
      </c>
    </row>
    <row r="28" spans="1:4">
      <c r="A28" s="9">
        <v>33</v>
      </c>
      <c r="B28" s="12" t="s">
        <v>26</v>
      </c>
      <c r="C28" s="14" t="s">
        <v>133</v>
      </c>
      <c r="D28" s="13">
        <v>4000</v>
      </c>
    </row>
    <row r="29" spans="1:4" ht="24">
      <c r="A29" s="9">
        <v>64</v>
      </c>
      <c r="B29" s="17" t="s">
        <v>37</v>
      </c>
      <c r="C29" s="14" t="s">
        <v>133</v>
      </c>
      <c r="D29" s="13">
        <v>1000</v>
      </c>
    </row>
    <row r="30" spans="1:4">
      <c r="A30" s="9">
        <v>68</v>
      </c>
      <c r="B30" s="12" t="s">
        <v>150</v>
      </c>
      <c r="C30" s="14" t="s">
        <v>133</v>
      </c>
      <c r="D30" s="13">
        <v>3000</v>
      </c>
    </row>
    <row r="31" spans="1:4">
      <c r="A31" s="9">
        <v>84</v>
      </c>
      <c r="B31" s="12" t="s">
        <v>44</v>
      </c>
      <c r="C31" s="14" t="s">
        <v>133</v>
      </c>
      <c r="D31" s="13">
        <v>30000</v>
      </c>
    </row>
    <row r="32" spans="1:4">
      <c r="A32" s="9">
        <v>88</v>
      </c>
      <c r="B32" s="12" t="s">
        <v>46</v>
      </c>
      <c r="C32" s="14" t="s">
        <v>133</v>
      </c>
      <c r="D32" s="13">
        <v>30000</v>
      </c>
    </row>
    <row r="33" spans="1:4">
      <c r="A33" s="9">
        <v>96</v>
      </c>
      <c r="B33" s="12" t="s">
        <v>48</v>
      </c>
      <c r="C33" s="14" t="s">
        <v>133</v>
      </c>
      <c r="D33" s="13">
        <v>1500</v>
      </c>
    </row>
    <row r="34" spans="1:4">
      <c r="A34" s="9">
        <v>99</v>
      </c>
      <c r="B34" s="16" t="s">
        <v>20</v>
      </c>
      <c r="C34" s="14" t="s">
        <v>133</v>
      </c>
      <c r="D34" s="52">
        <f>D33+D32+D31+D30+D29+D28+D27</f>
        <v>72500</v>
      </c>
    </row>
    <row r="35" spans="1:4">
      <c r="A35" s="9">
        <v>100</v>
      </c>
      <c r="B35" s="10" t="s">
        <v>21</v>
      </c>
      <c r="C35" s="14" t="s">
        <v>133</v>
      </c>
      <c r="D35" s="11">
        <f>D10-D34</f>
        <v>-21474.5</v>
      </c>
    </row>
    <row r="36" spans="1:4">
      <c r="A36" s="59"/>
      <c r="B36" s="72" t="s">
        <v>137</v>
      </c>
      <c r="C36" s="72"/>
      <c r="D36" s="72"/>
    </row>
    <row r="37" spans="1:4">
      <c r="A37" s="59"/>
      <c r="B37" s="9" t="s">
        <v>138</v>
      </c>
      <c r="C37" s="14" t="s">
        <v>133</v>
      </c>
      <c r="D37" s="63">
        <v>10000</v>
      </c>
    </row>
    <row r="38" spans="1:4">
      <c r="A38" s="59"/>
      <c r="B38" s="9" t="s">
        <v>139</v>
      </c>
      <c r="C38" s="14" t="s">
        <v>133</v>
      </c>
      <c r="D38" s="63">
        <v>25000</v>
      </c>
    </row>
    <row r="39" spans="1:4">
      <c r="A39" s="59"/>
      <c r="B39" s="9" t="s">
        <v>148</v>
      </c>
      <c r="C39" s="14" t="s">
        <v>133</v>
      </c>
      <c r="D39" s="63">
        <v>5000</v>
      </c>
    </row>
    <row r="40" spans="1:4">
      <c r="A40" s="59"/>
      <c r="B40" s="9" t="s">
        <v>155</v>
      </c>
      <c r="C40" s="14" t="s">
        <v>133</v>
      </c>
      <c r="D40" s="63">
        <v>40000</v>
      </c>
    </row>
    <row r="41" spans="1:4">
      <c r="A41" s="59"/>
      <c r="B41" s="16" t="s">
        <v>20</v>
      </c>
      <c r="C41" s="14" t="s">
        <v>133</v>
      </c>
      <c r="D41" s="11">
        <f>D40+D39+D38+D37</f>
        <v>80000</v>
      </c>
    </row>
    <row r="42" spans="1:4">
      <c r="A42" s="59"/>
      <c r="B42" s="10" t="s">
        <v>21</v>
      </c>
      <c r="C42" s="14" t="s">
        <v>133</v>
      </c>
      <c r="D42" s="60">
        <f>D11-D41</f>
        <v>-36260</v>
      </c>
    </row>
  </sheetData>
  <mergeCells count="6">
    <mergeCell ref="B36:D36"/>
    <mergeCell ref="A2:D2"/>
    <mergeCell ref="B3:D3"/>
    <mergeCell ref="B5:D5"/>
    <mergeCell ref="B13:D13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4"/>
  <sheetViews>
    <sheetView topLeftCell="A23" workbookViewId="0">
      <selection activeCell="A38" sqref="A38:D4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364734</v>
      </c>
    </row>
    <row r="9" spans="1:4">
      <c r="A9" s="9">
        <v>2</v>
      </c>
      <c r="B9" s="12" t="s">
        <v>6</v>
      </c>
      <c r="C9" s="14" t="s">
        <v>133</v>
      </c>
      <c r="D9" s="13">
        <f>12*10.64*1690</f>
        <v>215779.20000000001</v>
      </c>
    </row>
    <row r="10" spans="1:4">
      <c r="A10" s="9">
        <v>3</v>
      </c>
      <c r="B10" s="12" t="s">
        <v>7</v>
      </c>
      <c r="C10" s="14" t="s">
        <v>133</v>
      </c>
      <c r="D10" s="13">
        <f>12*3.91*1690</f>
        <v>79294.8</v>
      </c>
    </row>
    <row r="11" spans="1:4" ht="24">
      <c r="A11" s="9">
        <v>4</v>
      </c>
      <c r="B11" s="54" t="s">
        <v>51</v>
      </c>
      <c r="C11" s="55" t="s">
        <v>133</v>
      </c>
      <c r="D11" s="56">
        <f>12*135*43</f>
        <v>69660</v>
      </c>
    </row>
    <row r="12" spans="1:4">
      <c r="A12" s="9">
        <v>11</v>
      </c>
      <c r="B12" s="57"/>
      <c r="C12" s="55"/>
      <c r="D12" s="55"/>
    </row>
    <row r="13" spans="1:4">
      <c r="A13" s="9">
        <v>12</v>
      </c>
      <c r="B13" s="75" t="s">
        <v>8</v>
      </c>
      <c r="C13" s="76"/>
      <c r="D13" s="77"/>
    </row>
    <row r="14" spans="1:4">
      <c r="A14" s="9">
        <v>13</v>
      </c>
      <c r="B14" s="58" t="s">
        <v>9</v>
      </c>
      <c r="C14" s="55" t="s">
        <v>133</v>
      </c>
      <c r="D14" s="56">
        <f>12*1.93*1690</f>
        <v>39140.400000000001</v>
      </c>
    </row>
    <row r="15" spans="1:4">
      <c r="A15" s="9">
        <v>14</v>
      </c>
      <c r="B15" s="58" t="s">
        <v>10</v>
      </c>
      <c r="C15" s="55" t="s">
        <v>133</v>
      </c>
      <c r="D15" s="56">
        <f>12*1.55*1690</f>
        <v>31434.000000000004</v>
      </c>
    </row>
    <row r="16" spans="1:4">
      <c r="A16" s="9">
        <v>16</v>
      </c>
      <c r="B16" s="58" t="s">
        <v>12</v>
      </c>
      <c r="C16" s="55" t="s">
        <v>133</v>
      </c>
      <c r="D16" s="56">
        <f>12*1.65*1690</f>
        <v>33461.999999999993</v>
      </c>
    </row>
    <row r="17" spans="1:4">
      <c r="A17" s="9">
        <v>19</v>
      </c>
      <c r="B17" s="58" t="s">
        <v>15</v>
      </c>
      <c r="C17" s="55" t="s">
        <v>133</v>
      </c>
      <c r="D17" s="56">
        <f>12*0.78*1690</f>
        <v>15818.4</v>
      </c>
    </row>
    <row r="18" spans="1:4">
      <c r="A18" s="9">
        <v>20</v>
      </c>
      <c r="B18" s="58" t="s">
        <v>16</v>
      </c>
      <c r="C18" s="55" t="s">
        <v>133</v>
      </c>
      <c r="D18" s="56">
        <f>12*1.36*1690</f>
        <v>27580.799999999999</v>
      </c>
    </row>
    <row r="19" spans="1:4">
      <c r="A19" s="9">
        <v>21</v>
      </c>
      <c r="B19" s="58" t="s">
        <v>17</v>
      </c>
      <c r="C19" s="55" t="s">
        <v>133</v>
      </c>
      <c r="D19" s="56">
        <f>12*0.85*1690</f>
        <v>17238</v>
      </c>
    </row>
    <row r="20" spans="1:4">
      <c r="A20" s="9">
        <v>22</v>
      </c>
      <c r="B20" s="58" t="s">
        <v>18</v>
      </c>
      <c r="C20" s="55" t="s">
        <v>133</v>
      </c>
      <c r="D20" s="56">
        <f>12*2.49*1690</f>
        <v>50497.200000000004</v>
      </c>
    </row>
    <row r="21" spans="1:4">
      <c r="A21" s="9">
        <v>23</v>
      </c>
      <c r="B21" s="58" t="s">
        <v>19</v>
      </c>
      <c r="C21" s="55" t="s">
        <v>133</v>
      </c>
      <c r="D21" s="56">
        <f>12*0.029*1690</f>
        <v>588.12</v>
      </c>
    </row>
    <row r="22" spans="1:4">
      <c r="A22" s="9">
        <v>24</v>
      </c>
      <c r="B22" s="54" t="s">
        <v>141</v>
      </c>
      <c r="C22" s="55" t="s">
        <v>133</v>
      </c>
      <c r="D22" s="56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225758.91999999998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-9979.7199999999721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31</v>
      </c>
      <c r="B27" s="12" t="s">
        <v>25</v>
      </c>
      <c r="C27" s="14" t="s">
        <v>133</v>
      </c>
      <c r="D27" s="13">
        <v>1000</v>
      </c>
    </row>
    <row r="28" spans="1:4">
      <c r="A28" s="9">
        <v>33</v>
      </c>
      <c r="B28" s="12" t="s">
        <v>26</v>
      </c>
      <c r="C28" s="14" t="s">
        <v>133</v>
      </c>
      <c r="D28" s="13">
        <v>3000</v>
      </c>
    </row>
    <row r="29" spans="1:4">
      <c r="A29" s="9">
        <v>40</v>
      </c>
      <c r="B29" s="12" t="s">
        <v>30</v>
      </c>
      <c r="C29" s="14" t="s">
        <v>133</v>
      </c>
      <c r="D29" s="13">
        <v>1500</v>
      </c>
    </row>
    <row r="30" spans="1:4">
      <c r="A30" s="9">
        <v>60</v>
      </c>
      <c r="B30" s="12" t="s">
        <v>35</v>
      </c>
      <c r="C30" s="14" t="s">
        <v>133</v>
      </c>
      <c r="D30" s="13">
        <v>3000</v>
      </c>
    </row>
    <row r="31" spans="1:4" ht="24">
      <c r="A31" s="9">
        <v>64</v>
      </c>
      <c r="B31" s="17" t="s">
        <v>37</v>
      </c>
      <c r="C31" s="14" t="s">
        <v>133</v>
      </c>
      <c r="D31" s="13">
        <v>1500</v>
      </c>
    </row>
    <row r="32" spans="1:4">
      <c r="A32" s="9">
        <v>68</v>
      </c>
      <c r="B32" s="12" t="s">
        <v>150</v>
      </c>
      <c r="C32" s="14" t="s">
        <v>133</v>
      </c>
      <c r="D32" s="13">
        <v>3000</v>
      </c>
    </row>
    <row r="33" spans="1:4">
      <c r="A33" s="9">
        <v>84</v>
      </c>
      <c r="B33" s="12" t="s">
        <v>44</v>
      </c>
      <c r="C33" s="14" t="s">
        <v>133</v>
      </c>
      <c r="D33" s="13">
        <v>35000</v>
      </c>
    </row>
    <row r="34" spans="1:4">
      <c r="A34" s="9">
        <v>88</v>
      </c>
      <c r="B34" s="12" t="s">
        <v>46</v>
      </c>
      <c r="C34" s="14" t="s">
        <v>133</v>
      </c>
      <c r="D34" s="13">
        <v>45000</v>
      </c>
    </row>
    <row r="35" spans="1:4">
      <c r="A35" s="9">
        <v>96</v>
      </c>
      <c r="B35" s="12" t="s">
        <v>48</v>
      </c>
      <c r="C35" s="14" t="s">
        <v>133</v>
      </c>
      <c r="D35" s="13">
        <v>500</v>
      </c>
    </row>
    <row r="36" spans="1:4">
      <c r="A36" s="9">
        <v>99</v>
      </c>
      <c r="B36" s="16" t="s">
        <v>20</v>
      </c>
      <c r="C36" s="14" t="s">
        <v>133</v>
      </c>
      <c r="D36" s="13">
        <f>D35+D34+D33+D32+D31+D30+D29+D28+D27</f>
        <v>93500</v>
      </c>
    </row>
    <row r="37" spans="1:4">
      <c r="A37" s="9">
        <v>100</v>
      </c>
      <c r="B37" s="10" t="s">
        <v>21</v>
      </c>
      <c r="C37" s="14" t="s">
        <v>133</v>
      </c>
      <c r="D37" s="11">
        <f>D10-D36</f>
        <v>-14205.199999999997</v>
      </c>
    </row>
    <row r="38" spans="1:4">
      <c r="A38" s="59"/>
      <c r="B38" s="72" t="s">
        <v>137</v>
      </c>
      <c r="C38" s="72"/>
      <c r="D38" s="72"/>
    </row>
    <row r="39" spans="1:4">
      <c r="A39" s="59"/>
      <c r="B39" s="9" t="s">
        <v>138</v>
      </c>
      <c r="C39" s="14" t="s">
        <v>133</v>
      </c>
      <c r="D39" s="63">
        <v>10000</v>
      </c>
    </row>
    <row r="40" spans="1:4">
      <c r="A40" s="59"/>
      <c r="B40" s="9" t="s">
        <v>139</v>
      </c>
      <c r="C40" s="14" t="s">
        <v>133</v>
      </c>
      <c r="D40" s="63">
        <v>25000</v>
      </c>
    </row>
    <row r="41" spans="1:4">
      <c r="A41" s="59"/>
      <c r="B41" s="9" t="s">
        <v>148</v>
      </c>
      <c r="C41" s="14" t="s">
        <v>133</v>
      </c>
      <c r="D41" s="63">
        <v>5000</v>
      </c>
    </row>
    <row r="42" spans="1:4">
      <c r="A42" s="59"/>
      <c r="B42" s="9" t="s">
        <v>155</v>
      </c>
      <c r="C42" s="14" t="s">
        <v>133</v>
      </c>
      <c r="D42" s="63">
        <v>25000</v>
      </c>
    </row>
    <row r="43" spans="1:4">
      <c r="A43" s="59"/>
      <c r="B43" s="16" t="s">
        <v>20</v>
      </c>
      <c r="C43" s="14" t="s">
        <v>133</v>
      </c>
      <c r="D43" s="11">
        <f>D41+D40+D39+D42</f>
        <v>65000</v>
      </c>
    </row>
    <row r="44" spans="1:4">
      <c r="A44" s="59"/>
      <c r="B44" s="10" t="s">
        <v>21</v>
      </c>
      <c r="C44" s="14" t="s">
        <v>133</v>
      </c>
      <c r="D44" s="60">
        <f>D11-D43</f>
        <v>4660</v>
      </c>
    </row>
  </sheetData>
  <mergeCells count="6">
    <mergeCell ref="B38:D38"/>
    <mergeCell ref="A2:D2"/>
    <mergeCell ref="B3:D3"/>
    <mergeCell ref="B5:D5"/>
    <mergeCell ref="B13:D13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3"/>
  <sheetViews>
    <sheetView topLeftCell="A25" workbookViewId="0">
      <selection activeCell="F50" sqref="F50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 t="s">
        <v>132</v>
      </c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368961.66</v>
      </c>
    </row>
    <row r="9" spans="1:4">
      <c r="A9" s="9">
        <v>2</v>
      </c>
      <c r="B9" s="12" t="s">
        <v>6</v>
      </c>
      <c r="C9" s="14" t="s">
        <v>133</v>
      </c>
      <c r="D9" s="13">
        <f>12*10.64*1677.1</f>
        <v>214132.128</v>
      </c>
    </row>
    <row r="10" spans="1:4">
      <c r="A10" s="9">
        <v>3</v>
      </c>
      <c r="B10" s="12" t="s">
        <v>7</v>
      </c>
      <c r="C10" s="14" t="s">
        <v>133</v>
      </c>
      <c r="D10" s="13">
        <f>12*3.91*1677.1</f>
        <v>78689.531999999992</v>
      </c>
    </row>
    <row r="11" spans="1:4" ht="24">
      <c r="A11" s="9">
        <v>4</v>
      </c>
      <c r="B11" s="54" t="s">
        <v>51</v>
      </c>
      <c r="C11" s="55" t="s">
        <v>133</v>
      </c>
      <c r="D11" s="56">
        <f>12*135*47</f>
        <v>76140</v>
      </c>
    </row>
    <row r="12" spans="1:4">
      <c r="A12" s="9">
        <v>11</v>
      </c>
      <c r="B12" s="57"/>
      <c r="C12" s="55"/>
      <c r="D12" s="55"/>
    </row>
    <row r="13" spans="1:4">
      <c r="A13" s="9">
        <v>12</v>
      </c>
      <c r="B13" s="75" t="s">
        <v>8</v>
      </c>
      <c r="C13" s="76"/>
      <c r="D13" s="77"/>
    </row>
    <row r="14" spans="1:4">
      <c r="A14" s="9">
        <v>13</v>
      </c>
      <c r="B14" s="58" t="s">
        <v>9</v>
      </c>
      <c r="C14" s="55" t="s">
        <v>133</v>
      </c>
      <c r="D14" s="56">
        <f>12*1.93*1677.1</f>
        <v>38841.635999999999</v>
      </c>
    </row>
    <row r="15" spans="1:4">
      <c r="A15" s="9">
        <v>14</v>
      </c>
      <c r="B15" s="58" t="s">
        <v>10</v>
      </c>
      <c r="C15" s="55" t="s">
        <v>133</v>
      </c>
      <c r="D15" s="56">
        <f>12*1.55*1677.1</f>
        <v>31194.06</v>
      </c>
    </row>
    <row r="16" spans="1:4">
      <c r="A16" s="9">
        <v>16</v>
      </c>
      <c r="B16" s="58" t="s">
        <v>12</v>
      </c>
      <c r="C16" s="55" t="s">
        <v>133</v>
      </c>
      <c r="D16" s="56">
        <f>12*1.65*1677.1</f>
        <v>33206.579999999994</v>
      </c>
    </row>
    <row r="17" spans="1:4">
      <c r="A17" s="9">
        <v>19</v>
      </c>
      <c r="B17" s="58" t="s">
        <v>15</v>
      </c>
      <c r="C17" s="55" t="s">
        <v>133</v>
      </c>
      <c r="D17" s="56">
        <f>12*0.78*1677.1</f>
        <v>15697.655999999999</v>
      </c>
    </row>
    <row r="18" spans="1:4">
      <c r="A18" s="9">
        <v>20</v>
      </c>
      <c r="B18" s="58" t="s">
        <v>16</v>
      </c>
      <c r="C18" s="55" t="s">
        <v>133</v>
      </c>
      <c r="D18" s="56">
        <f>12*1.36*1677.1</f>
        <v>27370.271999999997</v>
      </c>
    </row>
    <row r="19" spans="1:4">
      <c r="A19" s="9">
        <v>21</v>
      </c>
      <c r="B19" s="58" t="s">
        <v>17</v>
      </c>
      <c r="C19" s="55" t="s">
        <v>133</v>
      </c>
      <c r="D19" s="56">
        <f>12*0.85*1677.1</f>
        <v>17106.419999999998</v>
      </c>
    </row>
    <row r="20" spans="1:4">
      <c r="A20" s="9">
        <v>22</v>
      </c>
      <c r="B20" s="58" t="s">
        <v>18</v>
      </c>
      <c r="C20" s="55" t="s">
        <v>133</v>
      </c>
      <c r="D20" s="56">
        <f>12*2.49*1677.1</f>
        <v>50111.748</v>
      </c>
    </row>
    <row r="21" spans="1:4">
      <c r="A21" s="9">
        <v>23</v>
      </c>
      <c r="B21" s="58" t="s">
        <v>19</v>
      </c>
      <c r="C21" s="55" t="s">
        <v>133</v>
      </c>
      <c r="D21" s="56">
        <f>12*0.029*1677.1</f>
        <v>583.63080000000002</v>
      </c>
    </row>
    <row r="22" spans="1:4">
      <c r="A22" s="9">
        <v>24</v>
      </c>
      <c r="B22" s="54" t="s">
        <v>141</v>
      </c>
      <c r="C22" s="55" t="s">
        <v>133</v>
      </c>
      <c r="D22" s="56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224112.00279999999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-9979.8747999999905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33</v>
      </c>
      <c r="B27" s="12" t="s">
        <v>26</v>
      </c>
      <c r="C27" s="14" t="s">
        <v>133</v>
      </c>
      <c r="D27" s="13">
        <v>3500</v>
      </c>
    </row>
    <row r="28" spans="1:4">
      <c r="A28" s="9">
        <v>40</v>
      </c>
      <c r="B28" s="12" t="s">
        <v>30</v>
      </c>
      <c r="C28" s="14" t="s">
        <v>133</v>
      </c>
      <c r="D28" s="13">
        <v>500</v>
      </c>
    </row>
    <row r="29" spans="1:4">
      <c r="A29" s="9">
        <v>43</v>
      </c>
      <c r="B29" s="12" t="s">
        <v>32</v>
      </c>
      <c r="C29" s="14" t="s">
        <v>133</v>
      </c>
      <c r="D29" s="13">
        <v>1500</v>
      </c>
    </row>
    <row r="30" spans="1:4" ht="24">
      <c r="A30" s="9">
        <v>64</v>
      </c>
      <c r="B30" s="17" t="s">
        <v>37</v>
      </c>
      <c r="C30" s="14" t="s">
        <v>133</v>
      </c>
      <c r="D30" s="13">
        <v>500</v>
      </c>
    </row>
    <row r="31" spans="1:4">
      <c r="A31" s="9">
        <v>68</v>
      </c>
      <c r="B31" s="12" t="s">
        <v>150</v>
      </c>
      <c r="C31" s="14" t="s">
        <v>133</v>
      </c>
      <c r="D31" s="13">
        <v>3000</v>
      </c>
    </row>
    <row r="32" spans="1:4">
      <c r="A32" s="9">
        <v>84</v>
      </c>
      <c r="B32" s="12" t="s">
        <v>44</v>
      </c>
      <c r="C32" s="14" t="s">
        <v>133</v>
      </c>
      <c r="D32" s="13">
        <v>35000</v>
      </c>
    </row>
    <row r="33" spans="1:4">
      <c r="A33" s="9">
        <v>88</v>
      </c>
      <c r="B33" s="12" t="s">
        <v>46</v>
      </c>
      <c r="C33" s="14" t="s">
        <v>133</v>
      </c>
      <c r="D33" s="13">
        <v>45000</v>
      </c>
    </row>
    <row r="34" spans="1:4">
      <c r="A34" s="9">
        <v>96</v>
      </c>
      <c r="B34" s="12" t="s">
        <v>48</v>
      </c>
      <c r="C34" s="14" t="s">
        <v>133</v>
      </c>
      <c r="D34" s="13">
        <v>1000</v>
      </c>
    </row>
    <row r="35" spans="1:4">
      <c r="A35" s="9">
        <v>99</v>
      </c>
      <c r="B35" s="12" t="s">
        <v>50</v>
      </c>
      <c r="C35" s="14" t="s">
        <v>133</v>
      </c>
      <c r="D35" s="13">
        <f>D34+D33+D32+D31+D30+D29+D28+D27</f>
        <v>90000</v>
      </c>
    </row>
    <row r="36" spans="1:4">
      <c r="A36" s="9">
        <v>100</v>
      </c>
      <c r="B36" s="10" t="s">
        <v>21</v>
      </c>
      <c r="C36" s="14" t="s">
        <v>133</v>
      </c>
      <c r="D36" s="11">
        <f>D10-D35</f>
        <v>-11310.468000000008</v>
      </c>
    </row>
    <row r="37" spans="1:4">
      <c r="A37" s="59"/>
      <c r="B37" s="72" t="s">
        <v>137</v>
      </c>
      <c r="C37" s="72"/>
      <c r="D37" s="72"/>
    </row>
    <row r="38" spans="1:4">
      <c r="A38" s="59"/>
      <c r="B38" s="9" t="s">
        <v>138</v>
      </c>
      <c r="C38" s="14" t="s">
        <v>133</v>
      </c>
      <c r="D38" s="63">
        <v>10000</v>
      </c>
    </row>
    <row r="39" spans="1:4">
      <c r="A39" s="59"/>
      <c r="B39" s="9" t="s">
        <v>139</v>
      </c>
      <c r="C39" s="14" t="s">
        <v>133</v>
      </c>
      <c r="D39" s="63">
        <v>25000</v>
      </c>
    </row>
    <row r="40" spans="1:4">
      <c r="A40" s="59"/>
      <c r="B40" s="9" t="s">
        <v>148</v>
      </c>
      <c r="C40" s="14" t="s">
        <v>133</v>
      </c>
      <c r="D40" s="63">
        <v>5000</v>
      </c>
    </row>
    <row r="41" spans="1:4">
      <c r="A41" s="59"/>
      <c r="B41" s="9" t="s">
        <v>155</v>
      </c>
      <c r="C41" s="14" t="s">
        <v>133</v>
      </c>
      <c r="D41" s="63">
        <v>25000</v>
      </c>
    </row>
    <row r="42" spans="1:4">
      <c r="A42" s="59"/>
      <c r="B42" s="16" t="s">
        <v>20</v>
      </c>
      <c r="C42" s="14" t="s">
        <v>133</v>
      </c>
      <c r="D42" s="11">
        <f>D40+D39+D38+D41</f>
        <v>65000</v>
      </c>
    </row>
    <row r="43" spans="1:4">
      <c r="A43" s="59"/>
      <c r="B43" s="10" t="s">
        <v>21</v>
      </c>
      <c r="C43" s="14" t="s">
        <v>133</v>
      </c>
      <c r="D43" s="60">
        <f>D11-D42</f>
        <v>11140</v>
      </c>
    </row>
  </sheetData>
  <mergeCells count="6">
    <mergeCell ref="B37:D37"/>
    <mergeCell ref="A2:D2"/>
    <mergeCell ref="B3:D3"/>
    <mergeCell ref="B5:D5"/>
    <mergeCell ref="B13:D13"/>
    <mergeCell ref="B25:D25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H24" sqref="H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49"/>
    </row>
    <row r="2" spans="1:4" ht="30" customHeight="1">
      <c r="A2" s="78" t="s">
        <v>0</v>
      </c>
      <c r="B2" s="78"/>
      <c r="C2" s="78"/>
      <c r="D2" s="78"/>
    </row>
    <row r="3" spans="1:4">
      <c r="A3" s="1"/>
      <c r="B3" s="1"/>
      <c r="C3" s="7"/>
      <c r="D3" s="7"/>
    </row>
    <row r="4" spans="1:4">
      <c r="A4" s="50" t="s">
        <v>1</v>
      </c>
      <c r="B4" s="50" t="s">
        <v>2</v>
      </c>
      <c r="C4" s="50" t="s">
        <v>3</v>
      </c>
      <c r="D4" s="50" t="s">
        <v>4</v>
      </c>
    </row>
    <row r="5" spans="1:4">
      <c r="A5" s="9">
        <v>1</v>
      </c>
      <c r="B5" s="51" t="s">
        <v>5</v>
      </c>
      <c r="C5" s="14" t="s">
        <v>133</v>
      </c>
      <c r="D5" s="52">
        <f>D6+D7+D8</f>
        <v>238031.1</v>
      </c>
    </row>
    <row r="6" spans="1:4">
      <c r="A6" s="9">
        <v>2</v>
      </c>
      <c r="B6" s="12" t="s">
        <v>6</v>
      </c>
      <c r="C6" s="14" t="s">
        <v>133</v>
      </c>
      <c r="D6" s="13">
        <f>12*10.64*1103.5</f>
        <v>140894.88</v>
      </c>
    </row>
    <row r="7" spans="1:4">
      <c r="A7" s="9">
        <v>3</v>
      </c>
      <c r="B7" s="12" t="s">
        <v>7</v>
      </c>
      <c r="C7" s="14" t="s">
        <v>133</v>
      </c>
      <c r="D7" s="13">
        <f>12*3.91*1103.5</f>
        <v>51776.22</v>
      </c>
    </row>
    <row r="8" spans="1:4" ht="24">
      <c r="A8" s="9">
        <v>4</v>
      </c>
      <c r="B8" s="19" t="s">
        <v>51</v>
      </c>
      <c r="C8" s="14" t="s">
        <v>133</v>
      </c>
      <c r="D8" s="13">
        <f>12*135*28</f>
        <v>45360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9" t="s">
        <v>8</v>
      </c>
      <c r="C10" s="70"/>
      <c r="D10" s="71"/>
    </row>
    <row r="11" spans="1:4">
      <c r="A11" s="9">
        <v>13</v>
      </c>
      <c r="B11" s="15" t="s">
        <v>9</v>
      </c>
      <c r="C11" s="14" t="s">
        <v>133</v>
      </c>
      <c r="D11" s="13">
        <f>12*1.93*1103.5</f>
        <v>25557.06</v>
      </c>
    </row>
    <row r="12" spans="1:4">
      <c r="A12" s="9">
        <v>14</v>
      </c>
      <c r="B12" s="15" t="s">
        <v>10</v>
      </c>
      <c r="C12" s="14" t="s">
        <v>133</v>
      </c>
      <c r="D12" s="13">
        <f>12*1.55*1103.5</f>
        <v>20525.100000000002</v>
      </c>
    </row>
    <row r="13" spans="1:4">
      <c r="A13" s="9">
        <v>16</v>
      </c>
      <c r="B13" s="15" t="s">
        <v>12</v>
      </c>
      <c r="C13" s="14" t="s">
        <v>133</v>
      </c>
      <c r="D13" s="13">
        <f>12*1.65*1103.5</f>
        <v>21849.299999999996</v>
      </c>
    </row>
    <row r="14" spans="1:4">
      <c r="A14" s="9">
        <v>19</v>
      </c>
      <c r="B14" s="15" t="s">
        <v>15</v>
      </c>
      <c r="C14" s="14" t="s">
        <v>133</v>
      </c>
      <c r="D14" s="13">
        <f>12*0.78*1103.5</f>
        <v>10328.76</v>
      </c>
    </row>
    <row r="15" spans="1:4">
      <c r="A15" s="9">
        <v>20</v>
      </c>
      <c r="B15" s="15" t="s">
        <v>16</v>
      </c>
      <c r="C15" s="14" t="s">
        <v>133</v>
      </c>
      <c r="D15" s="13">
        <f>12*1.36*1103.5</f>
        <v>18009.12</v>
      </c>
    </row>
    <row r="16" spans="1:4">
      <c r="A16" s="9">
        <v>21</v>
      </c>
      <c r="B16" s="15" t="s">
        <v>17</v>
      </c>
      <c r="C16" s="14" t="s">
        <v>133</v>
      </c>
      <c r="D16" s="13">
        <f>12*0.85*1103.5</f>
        <v>11255.699999999999</v>
      </c>
    </row>
    <row r="17" spans="1:4">
      <c r="A17" s="9">
        <v>22</v>
      </c>
      <c r="B17" s="15" t="s">
        <v>18</v>
      </c>
      <c r="C17" s="14" t="s">
        <v>133</v>
      </c>
      <c r="D17" s="13">
        <f>12*2.49*1103.5</f>
        <v>32972.58</v>
      </c>
    </row>
    <row r="18" spans="1:4">
      <c r="A18" s="9">
        <v>23</v>
      </c>
      <c r="B18" s="15" t="s">
        <v>19</v>
      </c>
      <c r="C18" s="14" t="s">
        <v>133</v>
      </c>
      <c r="D18" s="13">
        <f>12*0.029*1103.5</f>
        <v>384.01800000000003</v>
      </c>
    </row>
    <row r="19" spans="1:4">
      <c r="A19" s="9">
        <v>24</v>
      </c>
      <c r="B19" s="19" t="s">
        <v>141</v>
      </c>
      <c r="C19" s="14" t="s">
        <v>133</v>
      </c>
      <c r="D19" s="13">
        <v>10000</v>
      </c>
    </row>
    <row r="20" spans="1:4">
      <c r="A20" s="9">
        <v>25</v>
      </c>
      <c r="B20" s="53" t="s">
        <v>20</v>
      </c>
      <c r="C20" s="14" t="s">
        <v>133</v>
      </c>
      <c r="D20" s="52">
        <f>D19+D18+D17+D16+D15+D14+D13+D12+D11</f>
        <v>150881.63799999998</v>
      </c>
    </row>
    <row r="21" spans="1:4">
      <c r="A21" s="9">
        <v>26</v>
      </c>
      <c r="B21" s="51" t="s">
        <v>21</v>
      </c>
      <c r="C21" s="14" t="s">
        <v>133</v>
      </c>
      <c r="D21" s="52">
        <f>D6-D20</f>
        <v>-9986.7579999999725</v>
      </c>
    </row>
    <row r="22" spans="1:4">
      <c r="A22" s="9">
        <v>27</v>
      </c>
      <c r="B22" s="69" t="s">
        <v>22</v>
      </c>
      <c r="C22" s="70"/>
      <c r="D22" s="71"/>
    </row>
    <row r="23" spans="1:4">
      <c r="A23" s="9">
        <v>28</v>
      </c>
      <c r="B23" s="51" t="s">
        <v>23</v>
      </c>
      <c r="C23" s="14" t="s">
        <v>133</v>
      </c>
      <c r="D23" s="52"/>
    </row>
    <row r="24" spans="1:4">
      <c r="A24" s="9">
        <v>29</v>
      </c>
      <c r="B24" s="12" t="s">
        <v>24</v>
      </c>
      <c r="C24" s="14" t="s">
        <v>133</v>
      </c>
      <c r="D24" s="13">
        <v>1500</v>
      </c>
    </row>
    <row r="25" spans="1:4">
      <c r="A25" s="9">
        <v>31</v>
      </c>
      <c r="B25" s="12" t="s">
        <v>25</v>
      </c>
      <c r="C25" s="14" t="s">
        <v>133</v>
      </c>
      <c r="D25" s="13">
        <v>1000</v>
      </c>
    </row>
    <row r="26" spans="1:4">
      <c r="A26" s="9">
        <v>33</v>
      </c>
      <c r="B26" s="12" t="s">
        <v>26</v>
      </c>
      <c r="C26" s="14" t="s">
        <v>133</v>
      </c>
      <c r="D26" s="13">
        <v>3500</v>
      </c>
    </row>
    <row r="27" spans="1:4">
      <c r="A27" s="9">
        <v>40</v>
      </c>
      <c r="B27" s="12" t="s">
        <v>30</v>
      </c>
      <c r="C27" s="14" t="s">
        <v>133</v>
      </c>
      <c r="D27" s="13">
        <v>2000</v>
      </c>
    </row>
    <row r="28" spans="1:4">
      <c r="A28" s="9">
        <v>60</v>
      </c>
      <c r="B28" s="12" t="s">
        <v>35</v>
      </c>
      <c r="C28" s="14" t="s">
        <v>133</v>
      </c>
      <c r="D28" s="13">
        <v>4000</v>
      </c>
    </row>
    <row r="29" spans="1:4">
      <c r="A29" s="9">
        <v>63</v>
      </c>
      <c r="B29" s="12" t="s">
        <v>36</v>
      </c>
      <c r="C29" s="14" t="s">
        <v>133</v>
      </c>
      <c r="D29" s="13">
        <v>40000</v>
      </c>
    </row>
    <row r="30" spans="1:4" ht="24">
      <c r="A30" s="9">
        <v>64</v>
      </c>
      <c r="B30" s="17" t="s">
        <v>37</v>
      </c>
      <c r="C30" s="14" t="s">
        <v>133</v>
      </c>
      <c r="D30" s="13">
        <v>2000</v>
      </c>
    </row>
    <row r="31" spans="1:4">
      <c r="A31" s="9">
        <v>84</v>
      </c>
      <c r="B31" s="12" t="s">
        <v>44</v>
      </c>
      <c r="C31" s="14" t="s">
        <v>133</v>
      </c>
      <c r="D31" s="13">
        <v>30000</v>
      </c>
    </row>
    <row r="32" spans="1:4">
      <c r="A32" s="9">
        <v>88</v>
      </c>
      <c r="B32" s="12" t="s">
        <v>46</v>
      </c>
      <c r="C32" s="14" t="s">
        <v>133</v>
      </c>
      <c r="D32" s="13">
        <v>15000</v>
      </c>
    </row>
    <row r="33" spans="1:4">
      <c r="A33" s="9">
        <v>96</v>
      </c>
      <c r="B33" s="12" t="s">
        <v>48</v>
      </c>
      <c r="C33" s="14" t="s">
        <v>133</v>
      </c>
      <c r="D33" s="13">
        <v>2000</v>
      </c>
    </row>
    <row r="34" spans="1:4">
      <c r="A34" s="9">
        <v>99</v>
      </c>
      <c r="B34" s="53" t="s">
        <v>20</v>
      </c>
      <c r="C34" s="14" t="s">
        <v>133</v>
      </c>
      <c r="D34" s="13">
        <f>D33+D32+D31+D30+D29+D28+D27+D26+D25+D24</f>
        <v>101000</v>
      </c>
    </row>
    <row r="35" spans="1:4">
      <c r="A35" s="9">
        <v>100</v>
      </c>
      <c r="B35" s="51" t="s">
        <v>21</v>
      </c>
      <c r="C35" s="14" t="s">
        <v>133</v>
      </c>
      <c r="D35" s="52">
        <f>D7-D34</f>
        <v>-49223.78</v>
      </c>
    </row>
    <row r="36" spans="1:4">
      <c r="A36" s="59"/>
      <c r="B36" s="72" t="s">
        <v>137</v>
      </c>
      <c r="C36" s="72"/>
      <c r="D36" s="72"/>
    </row>
    <row r="37" spans="1:4">
      <c r="A37" s="59"/>
      <c r="B37" s="9" t="s">
        <v>138</v>
      </c>
      <c r="C37" s="14" t="s">
        <v>133</v>
      </c>
      <c r="D37" s="63">
        <v>10000</v>
      </c>
    </row>
    <row r="38" spans="1:4">
      <c r="A38" s="59"/>
      <c r="B38" s="9" t="s">
        <v>139</v>
      </c>
      <c r="C38" s="14" t="s">
        <v>133</v>
      </c>
      <c r="D38" s="63">
        <v>3500</v>
      </c>
    </row>
    <row r="39" spans="1:4">
      <c r="A39" s="59"/>
      <c r="B39" s="9" t="s">
        <v>148</v>
      </c>
      <c r="C39" s="14"/>
      <c r="D39" s="63">
        <v>4500</v>
      </c>
    </row>
    <row r="40" spans="1:4">
      <c r="A40" s="59"/>
      <c r="B40" s="16" t="s">
        <v>20</v>
      </c>
      <c r="C40" s="14" t="s">
        <v>133</v>
      </c>
      <c r="D40" s="11">
        <f>D38+D37</f>
        <v>13500</v>
      </c>
    </row>
    <row r="41" spans="1:4">
      <c r="A41" s="59"/>
      <c r="B41" s="10" t="s">
        <v>21</v>
      </c>
      <c r="C41" s="14" t="s">
        <v>133</v>
      </c>
      <c r="D41" s="60">
        <f>D8-D40</f>
        <v>31860</v>
      </c>
    </row>
  </sheetData>
  <mergeCells count="4">
    <mergeCell ref="A2:D2"/>
    <mergeCell ref="B10:D10"/>
    <mergeCell ref="B22:D22"/>
    <mergeCell ref="B36:D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XFD1048576"/>
    </sheetView>
  </sheetViews>
  <sheetFormatPr defaultRowHeight="14.4"/>
  <cols>
    <col min="3" max="3" width="33.5546875" customWidth="1"/>
    <col min="4" max="4" width="16.77734375" customWidth="1"/>
    <col min="5" max="5" width="18.5546875" customWidth="1"/>
    <col min="7" max="8" width="10.44140625" bestFit="1" customWidth="1"/>
  </cols>
  <sheetData>
    <row r="1" spans="1:8">
      <c r="A1" s="82" t="s">
        <v>52</v>
      </c>
      <c r="B1" s="82"/>
      <c r="C1" s="82"/>
      <c r="D1" s="82"/>
      <c r="E1" s="82"/>
    </row>
    <row r="2" spans="1:8" ht="28.8" customHeight="1">
      <c r="A2" s="83" t="s">
        <v>53</v>
      </c>
      <c r="B2" s="83"/>
      <c r="C2" s="83"/>
      <c r="D2" s="83"/>
      <c r="E2" s="83"/>
    </row>
    <row r="3" spans="1:8" ht="15" thickBot="1">
      <c r="A3" s="20"/>
      <c r="B3" s="20"/>
      <c r="C3" s="20"/>
      <c r="D3" s="20"/>
      <c r="E3" s="20"/>
    </row>
    <row r="4" spans="1:8" ht="15" thickBot="1">
      <c r="A4" s="21" t="s">
        <v>54</v>
      </c>
      <c r="B4" s="84" t="s">
        <v>55</v>
      </c>
      <c r="C4" s="85"/>
      <c r="D4" s="22" t="s">
        <v>56</v>
      </c>
      <c r="E4" s="23" t="s">
        <v>57</v>
      </c>
    </row>
    <row r="5" spans="1:8" ht="22.8" customHeight="1" thickBot="1">
      <c r="A5" s="24">
        <v>1</v>
      </c>
      <c r="B5" s="86" t="s">
        <v>58</v>
      </c>
      <c r="C5" s="87"/>
      <c r="D5" s="25" t="s">
        <v>59</v>
      </c>
      <c r="E5" s="26">
        <v>1.65</v>
      </c>
      <c r="G5">
        <f>E5*12*[1]площадь!D16</f>
        <v>27038.879999999994</v>
      </c>
    </row>
    <row r="6" spans="1:8" ht="15" thickBot="1">
      <c r="A6" s="24">
        <v>2</v>
      </c>
      <c r="B6" s="86" t="s">
        <v>60</v>
      </c>
      <c r="C6" s="87"/>
      <c r="D6" s="25" t="s">
        <v>61</v>
      </c>
      <c r="E6" s="26">
        <v>1.55</v>
      </c>
      <c r="G6">
        <f>E6*12*[1]площадь!D16</f>
        <v>25400.16</v>
      </c>
    </row>
    <row r="7" spans="1:8" ht="26.4" customHeight="1" thickBot="1">
      <c r="A7" s="24">
        <v>3</v>
      </c>
      <c r="B7" s="86" t="s">
        <v>62</v>
      </c>
      <c r="C7" s="87"/>
      <c r="D7" s="25" t="s">
        <v>63</v>
      </c>
      <c r="E7" s="26">
        <v>0.85</v>
      </c>
      <c r="G7">
        <f>E7*12*[1]площадь!D16</f>
        <v>13929.119999999999</v>
      </c>
    </row>
    <row r="8" spans="1:8" ht="26.4" customHeight="1" thickBot="1">
      <c r="A8" s="24">
        <v>4</v>
      </c>
      <c r="B8" s="86" t="s">
        <v>64</v>
      </c>
      <c r="C8" s="87"/>
      <c r="D8" s="25" t="s">
        <v>65</v>
      </c>
      <c r="E8" s="26">
        <v>1.36</v>
      </c>
      <c r="G8">
        <f>E8*12*[1]площадь!D16</f>
        <v>22286.592000000001</v>
      </c>
    </row>
    <row r="9" spans="1:8" ht="26.4" customHeight="1" thickBot="1">
      <c r="A9" s="24">
        <v>6</v>
      </c>
      <c r="B9" s="86" t="s">
        <v>66</v>
      </c>
      <c r="C9" s="87"/>
      <c r="D9" s="25" t="s">
        <v>67</v>
      </c>
      <c r="E9" s="26">
        <v>0.78</v>
      </c>
      <c r="G9">
        <f>E9*12*[1]площадь!D16</f>
        <v>12782.015999999998</v>
      </c>
    </row>
    <row r="10" spans="1:8" ht="15" thickBot="1">
      <c r="A10" s="24">
        <v>7</v>
      </c>
      <c r="B10" s="86" t="s">
        <v>68</v>
      </c>
      <c r="C10" s="87"/>
      <c r="D10" s="25" t="s">
        <v>69</v>
      </c>
      <c r="E10" s="26">
        <v>2.9000000000000001E-2</v>
      </c>
      <c r="G10">
        <f>E10*12*[1]площадь!D16</f>
        <v>475.22880000000004</v>
      </c>
    </row>
    <row r="11" spans="1:8" ht="26.4" customHeight="1" thickBot="1">
      <c r="A11" s="24">
        <v>8</v>
      </c>
      <c r="B11" s="86" t="s">
        <v>70</v>
      </c>
      <c r="C11" s="87"/>
      <c r="D11" s="25"/>
      <c r="E11" s="26">
        <v>1.93</v>
      </c>
      <c r="G11">
        <f>E11*12*[1]площадь!D16</f>
        <v>31627.295999999998</v>
      </c>
    </row>
    <row r="12" spans="1:8" ht="32.4" customHeight="1" thickBot="1">
      <c r="A12" s="24">
        <v>9</v>
      </c>
      <c r="B12" s="86" t="s">
        <v>71</v>
      </c>
      <c r="C12" s="87"/>
      <c r="D12" s="27" t="s">
        <v>67</v>
      </c>
      <c r="E12" s="26">
        <v>2.4900000000000002</v>
      </c>
      <c r="G12">
        <f>E12*12*[1]площадь!D16</f>
        <v>40804.128000000004</v>
      </c>
    </row>
    <row r="13" spans="1:8" ht="15" thickBot="1">
      <c r="A13" s="79" t="s">
        <v>72</v>
      </c>
      <c r="B13" s="80"/>
      <c r="C13" s="80"/>
      <c r="D13" s="81"/>
      <c r="E13" s="28">
        <v>10.64</v>
      </c>
      <c r="G13">
        <f>E13*12*[1]площадь!D16</f>
        <v>174359.80799999999</v>
      </c>
      <c r="H13" s="29">
        <f>G12+G11+G10+G9+G8+G7+G6+G5</f>
        <v>174343.42079999999</v>
      </c>
    </row>
  </sheetData>
  <mergeCells count="12">
    <mergeCell ref="A13:D13"/>
    <mergeCell ref="A1:E1"/>
    <mergeCell ref="A2:E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opLeftCell="A16" workbookViewId="0">
      <selection activeCell="A35" sqref="A35:D40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 ht="30" customHeight="1">
      <c r="A1" s="65" t="s">
        <v>0</v>
      </c>
      <c r="B1" s="65"/>
      <c r="C1" s="65"/>
      <c r="D1" s="65"/>
    </row>
    <row r="2" spans="1:4">
      <c r="A2" s="1"/>
      <c r="B2" s="1"/>
      <c r="C2" s="7"/>
      <c r="D2" s="7"/>
    </row>
    <row r="3" spans="1:4">
      <c r="A3" s="8" t="s">
        <v>1</v>
      </c>
      <c r="B3" s="8" t="s">
        <v>2</v>
      </c>
      <c r="C3" s="8" t="s">
        <v>3</v>
      </c>
      <c r="D3" s="8" t="s">
        <v>4</v>
      </c>
    </row>
    <row r="4" spans="1:4">
      <c r="A4" s="9">
        <v>1</v>
      </c>
      <c r="B4" s="10" t="s">
        <v>5</v>
      </c>
      <c r="C4" s="14" t="s">
        <v>133</v>
      </c>
      <c r="D4" s="11">
        <f>D5+D6+D7</f>
        <v>1101703.5</v>
      </c>
    </row>
    <row r="5" spans="1:4">
      <c r="A5" s="9">
        <v>2</v>
      </c>
      <c r="B5" s="12" t="s">
        <v>6</v>
      </c>
      <c r="C5" s="14" t="s">
        <v>133</v>
      </c>
      <c r="D5" s="13">
        <f>12*10.64*5697.5</f>
        <v>727456.8</v>
      </c>
    </row>
    <row r="6" spans="1:4">
      <c r="A6" s="9">
        <v>3</v>
      </c>
      <c r="B6" s="12" t="s">
        <v>7</v>
      </c>
      <c r="C6" s="14" t="s">
        <v>133</v>
      </c>
      <c r="D6" s="13">
        <f>12*3.91*5697.5</f>
        <v>267326.7</v>
      </c>
    </row>
    <row r="7" spans="1:4" ht="24">
      <c r="A7" s="9">
        <v>4</v>
      </c>
      <c r="B7" s="19" t="s">
        <v>51</v>
      </c>
      <c r="C7" s="14" t="s">
        <v>133</v>
      </c>
      <c r="D7" s="13">
        <f>12*135*66</f>
        <v>106920</v>
      </c>
    </row>
    <row r="8" spans="1:4">
      <c r="A8" s="9">
        <v>11</v>
      </c>
      <c r="B8" s="9"/>
      <c r="C8" s="14"/>
      <c r="D8" s="14"/>
    </row>
    <row r="9" spans="1:4">
      <c r="A9" s="9">
        <v>12</v>
      </c>
      <c r="B9" s="69" t="s">
        <v>8</v>
      </c>
      <c r="C9" s="70"/>
      <c r="D9" s="71"/>
    </row>
    <row r="10" spans="1:4">
      <c r="A10" s="9">
        <v>13</v>
      </c>
      <c r="B10" s="15" t="s">
        <v>9</v>
      </c>
      <c r="C10" s="14" t="s">
        <v>133</v>
      </c>
      <c r="D10" s="13">
        <f>12*1.93*5697.5</f>
        <v>131954.1</v>
      </c>
    </row>
    <row r="11" spans="1:4">
      <c r="A11" s="9">
        <v>14</v>
      </c>
      <c r="B11" s="15" t="s">
        <v>10</v>
      </c>
      <c r="C11" s="14" t="s">
        <v>133</v>
      </c>
      <c r="D11" s="13">
        <f>12*1.55*5697.5</f>
        <v>105973.50000000001</v>
      </c>
    </row>
    <row r="12" spans="1:4">
      <c r="A12" s="9">
        <v>16</v>
      </c>
      <c r="B12" s="15" t="s">
        <v>12</v>
      </c>
      <c r="C12" s="14" t="s">
        <v>133</v>
      </c>
      <c r="D12" s="13">
        <f>12*1.65*5697.5</f>
        <v>112810.49999999999</v>
      </c>
    </row>
    <row r="13" spans="1:4">
      <c r="A13" s="9">
        <v>19</v>
      </c>
      <c r="B13" s="15" t="s">
        <v>15</v>
      </c>
      <c r="C13" s="14" t="s">
        <v>133</v>
      </c>
      <c r="D13" s="13">
        <f>12*0.78*5697.5</f>
        <v>53328.6</v>
      </c>
    </row>
    <row r="14" spans="1:4">
      <c r="A14" s="9">
        <v>20</v>
      </c>
      <c r="B14" s="15" t="s">
        <v>16</v>
      </c>
      <c r="C14" s="14" t="s">
        <v>133</v>
      </c>
      <c r="D14" s="13">
        <f>12*1.36*5697.5</f>
        <v>92983.2</v>
      </c>
    </row>
    <row r="15" spans="1:4">
      <c r="A15" s="9">
        <v>21</v>
      </c>
      <c r="B15" s="15" t="s">
        <v>17</v>
      </c>
      <c r="C15" s="14" t="s">
        <v>133</v>
      </c>
      <c r="D15" s="13">
        <f>12*0.85*5697.5</f>
        <v>58114.499999999993</v>
      </c>
    </row>
    <row r="16" spans="1:4">
      <c r="A16" s="9">
        <v>22</v>
      </c>
      <c r="B16" s="15" t="s">
        <v>18</v>
      </c>
      <c r="C16" s="14" t="s">
        <v>133</v>
      </c>
      <c r="D16" s="13">
        <f>12*2.49*5697.5</f>
        <v>170241.30000000002</v>
      </c>
    </row>
    <row r="17" spans="1:4">
      <c r="A17" s="9">
        <v>23</v>
      </c>
      <c r="B17" s="15" t="s">
        <v>19</v>
      </c>
      <c r="C17" s="14" t="s">
        <v>133</v>
      </c>
      <c r="D17" s="13">
        <f>12*0.029*5697.5</f>
        <v>1982.7300000000002</v>
      </c>
    </row>
    <row r="18" spans="1:4">
      <c r="A18" s="9">
        <v>24</v>
      </c>
      <c r="B18" s="19" t="s">
        <v>141</v>
      </c>
      <c r="C18" s="14" t="s">
        <v>133</v>
      </c>
      <c r="D18" s="13">
        <v>10000</v>
      </c>
    </row>
    <row r="19" spans="1:4">
      <c r="A19" s="9">
        <v>25</v>
      </c>
      <c r="B19" s="16" t="s">
        <v>20</v>
      </c>
      <c r="C19" s="14" t="s">
        <v>133</v>
      </c>
      <c r="D19" s="11">
        <f>D17+D18+D16+D15+D14+D13+D12+D11+D10</f>
        <v>737388.43</v>
      </c>
    </row>
    <row r="20" spans="1:4">
      <c r="A20" s="9">
        <v>26</v>
      </c>
      <c r="B20" s="10" t="s">
        <v>21</v>
      </c>
      <c r="C20" s="14" t="s">
        <v>133</v>
      </c>
      <c r="D20" s="11">
        <f>D5-D19</f>
        <v>-9931.6300000000047</v>
      </c>
    </row>
    <row r="21" spans="1:4">
      <c r="A21" s="9">
        <v>27</v>
      </c>
      <c r="B21" s="69" t="s">
        <v>22</v>
      </c>
      <c r="C21" s="70"/>
      <c r="D21" s="71"/>
    </row>
    <row r="22" spans="1:4">
      <c r="A22" s="9">
        <v>28</v>
      </c>
      <c r="B22" s="10" t="s">
        <v>23</v>
      </c>
      <c r="C22" s="14" t="s">
        <v>133</v>
      </c>
      <c r="D22" s="11"/>
    </row>
    <row r="23" spans="1:4">
      <c r="A23" s="9">
        <v>29</v>
      </c>
      <c r="B23" s="12" t="s">
        <v>24</v>
      </c>
      <c r="C23" s="14" t="s">
        <v>133</v>
      </c>
      <c r="D23" s="13">
        <v>4000</v>
      </c>
    </row>
    <row r="24" spans="1:4">
      <c r="A24" s="9">
        <v>33</v>
      </c>
      <c r="B24" s="12" t="s">
        <v>26</v>
      </c>
      <c r="C24" s="14" t="s">
        <v>133</v>
      </c>
      <c r="D24" s="13">
        <v>4000</v>
      </c>
    </row>
    <row r="25" spans="1:4">
      <c r="A25" s="9">
        <v>34</v>
      </c>
      <c r="B25" s="12" t="s">
        <v>27</v>
      </c>
      <c r="C25" s="14" t="s">
        <v>133</v>
      </c>
      <c r="D25" s="13">
        <v>88000</v>
      </c>
    </row>
    <row r="26" spans="1:4">
      <c r="A26" s="9">
        <v>43</v>
      </c>
      <c r="B26" s="12" t="s">
        <v>32</v>
      </c>
      <c r="C26" s="14" t="s">
        <v>133</v>
      </c>
      <c r="D26" s="13">
        <v>2000</v>
      </c>
    </row>
    <row r="27" spans="1:4">
      <c r="A27" s="9">
        <v>44</v>
      </c>
      <c r="B27" s="12" t="s">
        <v>33</v>
      </c>
      <c r="C27" s="14" t="s">
        <v>133</v>
      </c>
      <c r="D27" s="13">
        <v>2000</v>
      </c>
    </row>
    <row r="28" spans="1:4">
      <c r="A28" s="9">
        <v>63</v>
      </c>
      <c r="B28" s="12" t="s">
        <v>36</v>
      </c>
      <c r="C28" s="14" t="s">
        <v>133</v>
      </c>
      <c r="D28" s="13">
        <v>2000</v>
      </c>
    </row>
    <row r="29" spans="1:4">
      <c r="A29" s="9">
        <v>68</v>
      </c>
      <c r="B29" s="12" t="s">
        <v>38</v>
      </c>
      <c r="C29" s="14" t="s">
        <v>133</v>
      </c>
      <c r="D29" s="13">
        <v>12800</v>
      </c>
    </row>
    <row r="30" spans="1:4">
      <c r="A30" s="9">
        <v>76</v>
      </c>
      <c r="B30" s="12" t="s">
        <v>42</v>
      </c>
      <c r="C30" s="14" t="s">
        <v>133</v>
      </c>
      <c r="D30" s="13">
        <v>66000</v>
      </c>
    </row>
    <row r="31" spans="1:4">
      <c r="A31" s="9">
        <v>77</v>
      </c>
      <c r="B31" s="12" t="s">
        <v>43</v>
      </c>
      <c r="C31" s="14" t="s">
        <v>133</v>
      </c>
      <c r="D31" s="13">
        <v>88000</v>
      </c>
    </row>
    <row r="32" spans="1:4">
      <c r="A32" s="9">
        <v>84</v>
      </c>
      <c r="B32" s="12" t="s">
        <v>44</v>
      </c>
      <c r="C32" s="14" t="s">
        <v>133</v>
      </c>
      <c r="D32" s="13">
        <v>112000</v>
      </c>
    </row>
    <row r="33" spans="1:4">
      <c r="A33" s="9"/>
      <c r="B33" s="16" t="s">
        <v>20</v>
      </c>
      <c r="C33" s="14" t="s">
        <v>133</v>
      </c>
      <c r="D33" s="52">
        <f>D32+D31+D30+D29+D28+D27+D26+D25+D24+D23</f>
        <v>380800</v>
      </c>
    </row>
    <row r="34" spans="1:4">
      <c r="A34" s="9">
        <v>100</v>
      </c>
      <c r="B34" s="10" t="s">
        <v>21</v>
      </c>
      <c r="C34" s="14" t="s">
        <v>133</v>
      </c>
      <c r="D34" s="11">
        <f>D6-D33</f>
        <v>-113473.29999999999</v>
      </c>
    </row>
    <row r="35" spans="1:4">
      <c r="B35" s="66" t="s">
        <v>137</v>
      </c>
      <c r="C35" s="67"/>
      <c r="D35" s="68"/>
    </row>
    <row r="36" spans="1:4">
      <c r="B36" s="61" t="s">
        <v>138</v>
      </c>
      <c r="C36" s="14" t="s">
        <v>133</v>
      </c>
      <c r="D36" s="62">
        <v>30000</v>
      </c>
    </row>
    <row r="37" spans="1:4">
      <c r="B37" s="61" t="s">
        <v>139</v>
      </c>
      <c r="C37" s="14" t="s">
        <v>133</v>
      </c>
      <c r="D37" s="62">
        <v>8000</v>
      </c>
    </row>
    <row r="38" spans="1:4">
      <c r="B38" s="61" t="s">
        <v>140</v>
      </c>
      <c r="C38" s="14" t="s">
        <v>133</v>
      </c>
      <c r="D38" s="62">
        <v>10000</v>
      </c>
    </row>
    <row r="39" spans="1:4">
      <c r="B39" s="16" t="s">
        <v>20</v>
      </c>
      <c r="C39" s="14" t="s">
        <v>133</v>
      </c>
      <c r="D39" s="11">
        <f>D37+D36+D38</f>
        <v>48000</v>
      </c>
    </row>
    <row r="40" spans="1:4">
      <c r="B40" s="10" t="s">
        <v>21</v>
      </c>
      <c r="C40" s="14" t="s">
        <v>133</v>
      </c>
      <c r="D40" s="60">
        <f>D7-D39</f>
        <v>58920</v>
      </c>
    </row>
  </sheetData>
  <mergeCells count="4">
    <mergeCell ref="B21:D21"/>
    <mergeCell ref="A1:D1"/>
    <mergeCell ref="B9:D9"/>
    <mergeCell ref="B35:D3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54"/>
  <sheetViews>
    <sheetView topLeftCell="E37" workbookViewId="0">
      <selection activeCell="R59" sqref="R59"/>
    </sheetView>
  </sheetViews>
  <sheetFormatPr defaultRowHeight="13.8"/>
  <cols>
    <col min="1" max="1" width="3.109375" style="30" customWidth="1"/>
    <col min="2" max="2" width="12.88671875" style="30" customWidth="1"/>
    <col min="3" max="3" width="9.109375" style="30" customWidth="1"/>
    <col min="4" max="4" width="8.6640625" style="42" customWidth="1"/>
    <col min="5" max="5" width="8.88671875" style="30" customWidth="1"/>
    <col min="6" max="6" width="9.5546875" style="30" customWidth="1"/>
    <col min="7" max="7" width="3.109375" style="30" customWidth="1"/>
    <col min="8" max="8" width="18.6640625" style="30" customWidth="1"/>
    <col min="9" max="10" width="8.44140625" style="30" customWidth="1"/>
    <col min="11" max="11" width="9.88671875" style="30" customWidth="1"/>
    <col min="12" max="12" width="8.109375" style="30" customWidth="1"/>
    <col min="13" max="16384" width="8.88671875" style="30"/>
  </cols>
  <sheetData>
    <row r="1" spans="1:19">
      <c r="A1" s="115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9" ht="14.4" customHeight="1">
      <c r="A2" s="116" t="s">
        <v>1</v>
      </c>
      <c r="B2" s="116" t="s">
        <v>75</v>
      </c>
      <c r="C2" s="116" t="s">
        <v>73</v>
      </c>
      <c r="D2" s="116"/>
      <c r="E2" s="116"/>
      <c r="F2" s="116"/>
      <c r="G2" s="116" t="s">
        <v>76</v>
      </c>
      <c r="H2" s="116"/>
      <c r="I2" s="116"/>
      <c r="J2" s="116"/>
      <c r="K2" s="116"/>
      <c r="L2" s="116"/>
      <c r="M2" s="116"/>
      <c r="N2" s="116"/>
      <c r="O2" s="116"/>
      <c r="P2" s="116"/>
      <c r="Q2" s="117" t="s">
        <v>77</v>
      </c>
      <c r="R2" s="117" t="s">
        <v>78</v>
      </c>
    </row>
    <row r="3" spans="1:19" ht="14.4" customHeight="1">
      <c r="A3" s="116"/>
      <c r="B3" s="116"/>
      <c r="C3" s="116" t="s">
        <v>79</v>
      </c>
      <c r="D3" s="118" t="s">
        <v>80</v>
      </c>
      <c r="E3" s="116" t="s">
        <v>81</v>
      </c>
      <c r="F3" s="116" t="s">
        <v>82</v>
      </c>
      <c r="G3" s="126" t="s">
        <v>83</v>
      </c>
      <c r="H3" s="127"/>
      <c r="I3" s="116" t="s">
        <v>84</v>
      </c>
      <c r="J3" s="116"/>
      <c r="K3" s="116" t="s">
        <v>85</v>
      </c>
      <c r="L3" s="116"/>
      <c r="M3" s="116" t="s">
        <v>86</v>
      </c>
      <c r="N3" s="116"/>
      <c r="O3" s="116" t="s">
        <v>87</v>
      </c>
      <c r="P3" s="116"/>
      <c r="Q3" s="117"/>
      <c r="R3" s="117"/>
    </row>
    <row r="4" spans="1:19">
      <c r="A4" s="116"/>
      <c r="B4" s="116"/>
      <c r="C4" s="116"/>
      <c r="D4" s="118"/>
      <c r="E4" s="116"/>
      <c r="F4" s="116"/>
      <c r="G4" s="31" t="s">
        <v>88</v>
      </c>
      <c r="H4" s="32" t="s">
        <v>89</v>
      </c>
      <c r="I4" s="31" t="s">
        <v>88</v>
      </c>
      <c r="J4" s="32" t="s">
        <v>89</v>
      </c>
      <c r="K4" s="31" t="s">
        <v>88</v>
      </c>
      <c r="L4" s="32" t="s">
        <v>89</v>
      </c>
      <c r="M4" s="31" t="s">
        <v>88</v>
      </c>
      <c r="N4" s="32" t="s">
        <v>89</v>
      </c>
      <c r="O4" s="31" t="s">
        <v>88</v>
      </c>
      <c r="P4" s="32" t="s">
        <v>89</v>
      </c>
      <c r="Q4" s="117"/>
      <c r="R4" s="117"/>
    </row>
    <row r="5" spans="1:19" ht="15.6">
      <c r="A5" s="119" t="s">
        <v>90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</row>
    <row r="6" spans="1:19" s="40" customFormat="1">
      <c r="A6" s="38">
        <v>1</v>
      </c>
      <c r="B6" s="38" t="s">
        <v>91</v>
      </c>
      <c r="C6" s="38">
        <v>7746.3</v>
      </c>
      <c r="D6" s="39">
        <v>5749.7</v>
      </c>
      <c r="E6" s="38">
        <v>4235.6000000000004</v>
      </c>
      <c r="F6" s="38">
        <v>1379.8</v>
      </c>
      <c r="G6" s="38">
        <v>8</v>
      </c>
      <c r="H6" s="38">
        <v>451.4</v>
      </c>
      <c r="I6" s="38">
        <v>33</v>
      </c>
      <c r="J6" s="38">
        <v>2810.2</v>
      </c>
      <c r="K6" s="38">
        <v>4</v>
      </c>
      <c r="L6" s="38">
        <v>337.1</v>
      </c>
      <c r="M6" s="38">
        <v>12</v>
      </c>
      <c r="N6" s="38">
        <v>2151</v>
      </c>
      <c r="O6" s="38"/>
      <c r="P6" s="38"/>
      <c r="Q6" s="38"/>
      <c r="R6" s="38"/>
      <c r="S6" s="40">
        <f>O6+M6+K6+I6+G6</f>
        <v>57</v>
      </c>
    </row>
    <row r="7" spans="1:19" s="40" customFormat="1">
      <c r="A7" s="38">
        <v>2</v>
      </c>
      <c r="B7" s="38" t="s">
        <v>92</v>
      </c>
      <c r="C7" s="38">
        <v>7682.6</v>
      </c>
      <c r="D7" s="39">
        <v>5697.5</v>
      </c>
      <c r="E7" s="38">
        <v>3831.8</v>
      </c>
      <c r="F7" s="38">
        <v>1368.3</v>
      </c>
      <c r="G7" s="38">
        <v>18</v>
      </c>
      <c r="H7" s="38">
        <v>1008.6</v>
      </c>
      <c r="I7" s="38">
        <v>36</v>
      </c>
      <c r="J7" s="38">
        <v>2551</v>
      </c>
      <c r="K7" s="38"/>
      <c r="L7" s="38"/>
      <c r="M7" s="38">
        <v>12</v>
      </c>
      <c r="N7" s="38">
        <v>2138.1</v>
      </c>
      <c r="O7" s="38"/>
      <c r="P7" s="38"/>
      <c r="Q7" s="38"/>
      <c r="R7" s="38"/>
      <c r="S7" s="40">
        <f t="shared" ref="S7:S33" si="0">O7+M7+K7+I7+G7</f>
        <v>66</v>
      </c>
    </row>
    <row r="8" spans="1:19" s="40" customFormat="1">
      <c r="A8" s="38">
        <v>3</v>
      </c>
      <c r="B8" s="38" t="s">
        <v>93</v>
      </c>
      <c r="C8" s="38">
        <v>5110.8999999999996</v>
      </c>
      <c r="D8" s="39">
        <v>3783.4</v>
      </c>
      <c r="E8" s="38">
        <v>2401.8000000000002</v>
      </c>
      <c r="F8" s="38">
        <v>916.3</v>
      </c>
      <c r="G8" s="38">
        <v>27</v>
      </c>
      <c r="H8" s="38">
        <v>1512.6</v>
      </c>
      <c r="I8" s="38">
        <v>12</v>
      </c>
      <c r="J8" s="38">
        <v>847.3</v>
      </c>
      <c r="K8" s="38"/>
      <c r="L8" s="38"/>
      <c r="M8" s="38">
        <v>8</v>
      </c>
      <c r="N8" s="38">
        <v>1423.5</v>
      </c>
      <c r="O8" s="38"/>
      <c r="P8" s="38"/>
      <c r="Q8" s="38"/>
      <c r="R8" s="38"/>
      <c r="S8" s="40">
        <f t="shared" si="0"/>
        <v>47</v>
      </c>
    </row>
    <row r="9" spans="1:19" s="40" customFormat="1">
      <c r="A9" s="38">
        <v>4</v>
      </c>
      <c r="B9" s="38" t="s">
        <v>94</v>
      </c>
      <c r="C9" s="38">
        <v>7683.7</v>
      </c>
      <c r="D9" s="39">
        <v>5714.1</v>
      </c>
      <c r="E9" s="38">
        <v>4034.7</v>
      </c>
      <c r="F9" s="38">
        <v>1370.4</v>
      </c>
      <c r="G9" s="38">
        <v>6</v>
      </c>
      <c r="H9" s="38">
        <v>334.8</v>
      </c>
      <c r="I9" s="38">
        <v>36</v>
      </c>
      <c r="J9" s="38">
        <v>3251.4</v>
      </c>
      <c r="K9" s="38"/>
      <c r="L9" s="38"/>
      <c r="M9" s="38">
        <v>12</v>
      </c>
      <c r="N9" s="38">
        <v>2127.3000000000002</v>
      </c>
      <c r="O9" s="38"/>
      <c r="P9" s="38"/>
      <c r="Q9" s="38"/>
      <c r="R9" s="38"/>
      <c r="S9" s="30">
        <f t="shared" si="0"/>
        <v>54</v>
      </c>
    </row>
    <row r="10" spans="1:19" s="40" customFormat="1">
      <c r="A10" s="38">
        <v>5</v>
      </c>
      <c r="B10" s="38" t="s">
        <v>95</v>
      </c>
      <c r="C10" s="38">
        <v>10203.5</v>
      </c>
      <c r="D10" s="39">
        <v>7545.9</v>
      </c>
      <c r="E10" s="38">
        <v>4664.5</v>
      </c>
      <c r="F10" s="38">
        <v>1835.2</v>
      </c>
      <c r="G10" s="38">
        <v>56</v>
      </c>
      <c r="H10" s="38">
        <v>2810</v>
      </c>
      <c r="I10" s="38">
        <v>25</v>
      </c>
      <c r="J10" s="38">
        <v>1918.4</v>
      </c>
      <c r="K10" s="38"/>
      <c r="L10" s="38"/>
      <c r="M10" s="38">
        <v>14</v>
      </c>
      <c r="N10" s="38">
        <v>2476.6999999999998</v>
      </c>
      <c r="O10" s="38">
        <v>2</v>
      </c>
      <c r="P10" s="38">
        <v>340.8</v>
      </c>
      <c r="Q10" s="38"/>
      <c r="R10" s="38"/>
      <c r="S10" s="40">
        <f t="shared" si="0"/>
        <v>97</v>
      </c>
    </row>
    <row r="11" spans="1:19" s="40" customFormat="1">
      <c r="A11" s="38">
        <v>6</v>
      </c>
      <c r="B11" s="38" t="s">
        <v>96</v>
      </c>
      <c r="C11" s="38">
        <v>7709.7</v>
      </c>
      <c r="D11" s="39">
        <v>5720.4</v>
      </c>
      <c r="E11" s="38">
        <v>3927.4</v>
      </c>
      <c r="F11" s="38">
        <v>1372.5</v>
      </c>
      <c r="G11" s="38">
        <v>15</v>
      </c>
      <c r="H11" s="38">
        <v>840.8</v>
      </c>
      <c r="I11" s="38">
        <v>36</v>
      </c>
      <c r="J11" s="38">
        <v>2747.3</v>
      </c>
      <c r="K11" s="38"/>
      <c r="L11" s="38"/>
      <c r="M11" s="38">
        <v>11</v>
      </c>
      <c r="N11" s="38">
        <v>1960.6</v>
      </c>
      <c r="O11" s="38">
        <v>1</v>
      </c>
      <c r="P11" s="38">
        <v>171.7</v>
      </c>
      <c r="Q11" s="38"/>
      <c r="R11" s="38"/>
      <c r="S11" s="40">
        <f t="shared" si="0"/>
        <v>63</v>
      </c>
    </row>
    <row r="12" spans="1:19" s="40" customFormat="1">
      <c r="A12" s="38">
        <v>7</v>
      </c>
      <c r="B12" s="38" t="s">
        <v>97</v>
      </c>
      <c r="C12" s="38">
        <v>5143.2</v>
      </c>
      <c r="D12" s="39">
        <v>3794.7</v>
      </c>
      <c r="E12" s="38">
        <v>2668.9</v>
      </c>
      <c r="F12" s="38">
        <v>917.3</v>
      </c>
      <c r="G12" s="38">
        <v>9</v>
      </c>
      <c r="H12" s="38">
        <v>501.6</v>
      </c>
      <c r="I12" s="38">
        <v>21</v>
      </c>
      <c r="J12" s="38">
        <v>1604</v>
      </c>
      <c r="K12" s="38">
        <v>2</v>
      </c>
      <c r="L12" s="38">
        <v>167.2</v>
      </c>
      <c r="M12" s="38">
        <v>9</v>
      </c>
      <c r="N12" s="38">
        <v>1521.9</v>
      </c>
      <c r="O12" s="38"/>
      <c r="P12" s="38"/>
      <c r="Q12" s="38"/>
      <c r="R12" s="38"/>
      <c r="S12" s="40">
        <f t="shared" si="0"/>
        <v>41</v>
      </c>
    </row>
    <row r="13" spans="1:19" s="37" customFormat="1">
      <c r="A13" s="35"/>
      <c r="B13" s="35" t="s">
        <v>98</v>
      </c>
      <c r="C13" s="35">
        <f>C12+C11+C10+C9+C8+C7+C6</f>
        <v>51279.9</v>
      </c>
      <c r="D13" s="36">
        <f>D12+D11+D10+D9+D8+D7+D6</f>
        <v>38005.699999999997</v>
      </c>
      <c r="E13" s="35">
        <f>E12+E11+E10+E9+E8+E7+E6</f>
        <v>25764.699999999997</v>
      </c>
      <c r="F13" s="35">
        <f>F12+F11+F10+F9+F8+F7+F6</f>
        <v>9159.7999999999993</v>
      </c>
      <c r="G13" s="35">
        <f>G12+G11+G10+G9+G8+G7+G6</f>
        <v>139</v>
      </c>
      <c r="H13" s="35">
        <f t="shared" ref="H13:P13" si="1">H12+H11+H10+H9+H8+H7+H6</f>
        <v>7459.7999999999993</v>
      </c>
      <c r="I13" s="35">
        <f t="shared" si="1"/>
        <v>199</v>
      </c>
      <c r="J13" s="35">
        <f t="shared" si="1"/>
        <v>15729.599999999999</v>
      </c>
      <c r="K13" s="35">
        <f t="shared" si="1"/>
        <v>6</v>
      </c>
      <c r="L13" s="35">
        <f t="shared" si="1"/>
        <v>504.3</v>
      </c>
      <c r="M13" s="35">
        <f t="shared" si="1"/>
        <v>78</v>
      </c>
      <c r="N13" s="35">
        <f t="shared" si="1"/>
        <v>13799.1</v>
      </c>
      <c r="O13" s="35">
        <f t="shared" si="1"/>
        <v>3</v>
      </c>
      <c r="P13" s="35">
        <f t="shared" si="1"/>
        <v>512.5</v>
      </c>
      <c r="Q13" s="35"/>
      <c r="R13" s="35"/>
      <c r="S13" s="30">
        <f t="shared" si="0"/>
        <v>425</v>
      </c>
    </row>
    <row r="14" spans="1:19">
      <c r="A14" s="33"/>
      <c r="B14" s="33"/>
      <c r="C14" s="33"/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9">
      <c r="A15" s="33"/>
      <c r="B15" s="33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9">
      <c r="A16" s="121" t="s">
        <v>99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3"/>
    </row>
    <row r="17" spans="1:19" s="40" customFormat="1">
      <c r="A17" s="44">
        <v>21</v>
      </c>
      <c r="B17" s="38" t="s">
        <v>100</v>
      </c>
      <c r="C17" s="38">
        <v>3985.8</v>
      </c>
      <c r="D17" s="39">
        <v>2987.2</v>
      </c>
      <c r="E17" s="38">
        <v>2078.6</v>
      </c>
      <c r="F17" s="38">
        <v>690.1</v>
      </c>
      <c r="G17" s="38">
        <v>8</v>
      </c>
      <c r="H17" s="38">
        <v>297.10000000000002</v>
      </c>
      <c r="I17" s="38">
        <v>20</v>
      </c>
      <c r="J17" s="38">
        <v>1182</v>
      </c>
      <c r="K17" s="38">
        <v>17</v>
      </c>
      <c r="L17" s="38">
        <v>1992.2</v>
      </c>
      <c r="M17" s="38"/>
      <c r="N17" s="38"/>
      <c r="O17" s="38"/>
      <c r="P17" s="38"/>
      <c r="Q17" s="38"/>
      <c r="R17" s="38"/>
      <c r="S17" s="40">
        <f t="shared" si="0"/>
        <v>45</v>
      </c>
    </row>
    <row r="18" spans="1:19" s="40" customFormat="1">
      <c r="A18" s="44">
        <v>22</v>
      </c>
      <c r="B18" s="38" t="s">
        <v>101</v>
      </c>
      <c r="C18" s="38">
        <v>5363.8</v>
      </c>
      <c r="D18" s="39">
        <v>4038.6</v>
      </c>
      <c r="E18" s="38">
        <v>1728.3</v>
      </c>
      <c r="F18" s="38">
        <v>915.6</v>
      </c>
      <c r="G18" s="38">
        <v>11</v>
      </c>
      <c r="H18" s="38">
        <v>428</v>
      </c>
      <c r="I18" s="38">
        <v>24</v>
      </c>
      <c r="J18" s="38">
        <v>1286.5</v>
      </c>
      <c r="K18" s="38">
        <v>25</v>
      </c>
      <c r="L18" s="38">
        <v>2324.1</v>
      </c>
      <c r="M18" s="38"/>
      <c r="N18" s="38"/>
      <c r="O18" s="38"/>
      <c r="P18" s="38"/>
      <c r="Q18" s="38"/>
      <c r="R18" s="38"/>
      <c r="S18" s="40">
        <f t="shared" si="0"/>
        <v>60</v>
      </c>
    </row>
    <row r="19" spans="1:19" s="40" customFormat="1">
      <c r="A19" s="44">
        <v>23</v>
      </c>
      <c r="B19" s="38" t="s">
        <v>102</v>
      </c>
      <c r="C19" s="38">
        <v>3635</v>
      </c>
      <c r="D19" s="39">
        <v>2778.4</v>
      </c>
      <c r="E19" s="38">
        <v>1734.6</v>
      </c>
      <c r="F19" s="38">
        <v>506.2</v>
      </c>
      <c r="G19" s="38">
        <v>24</v>
      </c>
      <c r="H19" s="38">
        <v>801</v>
      </c>
      <c r="I19" s="38">
        <v>22</v>
      </c>
      <c r="J19" s="38">
        <v>1061</v>
      </c>
      <c r="K19" s="38">
        <v>8</v>
      </c>
      <c r="L19" s="38">
        <v>712.4</v>
      </c>
      <c r="M19" s="38">
        <v>2</v>
      </c>
      <c r="N19" s="38">
        <v>204</v>
      </c>
      <c r="O19" s="38"/>
      <c r="P19" s="38"/>
      <c r="Q19" s="38"/>
      <c r="R19" s="38"/>
      <c r="S19" s="40">
        <f t="shared" si="0"/>
        <v>56</v>
      </c>
    </row>
    <row r="20" spans="1:19" s="40" customFormat="1">
      <c r="A20" s="44">
        <v>24</v>
      </c>
      <c r="B20" s="38" t="s">
        <v>103</v>
      </c>
      <c r="C20" s="38">
        <v>3401.6</v>
      </c>
      <c r="D20" s="39">
        <v>2202.6</v>
      </c>
      <c r="E20" s="38">
        <v>1250</v>
      </c>
      <c r="F20" s="38">
        <v>591.1</v>
      </c>
      <c r="G20" s="38">
        <v>32</v>
      </c>
      <c r="H20" s="38">
        <v>1595.1</v>
      </c>
      <c r="I20" s="38">
        <v>24</v>
      </c>
      <c r="J20" s="38">
        <v>1140.2</v>
      </c>
      <c r="K20" s="38"/>
      <c r="L20" s="38"/>
      <c r="M20" s="38"/>
      <c r="N20" s="38"/>
      <c r="O20" s="38"/>
      <c r="P20" s="38"/>
      <c r="Q20" s="38"/>
      <c r="R20" s="38"/>
      <c r="S20" s="40">
        <f t="shared" si="0"/>
        <v>56</v>
      </c>
    </row>
    <row r="21" spans="1:19" s="40" customFormat="1">
      <c r="A21" s="44">
        <v>25</v>
      </c>
      <c r="B21" s="38" t="s">
        <v>104</v>
      </c>
      <c r="C21" s="38">
        <v>13631.7</v>
      </c>
      <c r="D21" s="39">
        <v>4934.1000000000004</v>
      </c>
      <c r="E21" s="38">
        <v>2852.5</v>
      </c>
      <c r="F21" s="38">
        <v>1401.2</v>
      </c>
      <c r="G21" s="38">
        <v>68</v>
      </c>
      <c r="H21" s="38">
        <v>2231.6</v>
      </c>
      <c r="I21" s="38">
        <v>56</v>
      </c>
      <c r="J21" s="38">
        <v>2702.5</v>
      </c>
      <c r="K21" s="38"/>
      <c r="L21" s="38"/>
      <c r="M21" s="38"/>
      <c r="N21" s="38"/>
      <c r="O21" s="38"/>
      <c r="P21" s="38"/>
      <c r="Q21" s="38"/>
      <c r="R21" s="38"/>
      <c r="S21" s="40">
        <f t="shared" si="0"/>
        <v>124</v>
      </c>
    </row>
    <row r="22" spans="1:19" s="40" customFormat="1">
      <c r="A22" s="44">
        <v>26</v>
      </c>
      <c r="B22" s="38" t="s">
        <v>105</v>
      </c>
      <c r="C22" s="38">
        <v>5407.5</v>
      </c>
      <c r="D22" s="39">
        <v>4071.1</v>
      </c>
      <c r="E22" s="38">
        <v>2718.5</v>
      </c>
      <c r="F22" s="38">
        <v>921.6</v>
      </c>
      <c r="G22" s="38">
        <v>2</v>
      </c>
      <c r="H22" s="38">
        <v>98.4</v>
      </c>
      <c r="I22" s="38">
        <v>46</v>
      </c>
      <c r="J22" s="38">
        <v>1914.9</v>
      </c>
      <c r="K22" s="38">
        <v>16</v>
      </c>
      <c r="L22" s="38">
        <v>1391.6</v>
      </c>
      <c r="M22" s="38"/>
      <c r="N22" s="38"/>
      <c r="O22" s="38"/>
      <c r="P22" s="38"/>
      <c r="Q22" s="38"/>
      <c r="R22" s="38"/>
      <c r="S22" s="40">
        <f t="shared" si="0"/>
        <v>64</v>
      </c>
    </row>
    <row r="23" spans="1:19" s="40" customFormat="1">
      <c r="A23" s="44">
        <v>27</v>
      </c>
      <c r="B23" s="44" t="s">
        <v>106</v>
      </c>
      <c r="C23" s="38">
        <v>5419.1</v>
      </c>
      <c r="D23" s="39">
        <v>4086.6</v>
      </c>
      <c r="E23" s="38">
        <v>2522.1999999999998</v>
      </c>
      <c r="F23" s="38">
        <v>962.8</v>
      </c>
      <c r="G23" s="38">
        <v>30</v>
      </c>
      <c r="H23" s="38">
        <v>980.5</v>
      </c>
      <c r="I23" s="38">
        <v>34</v>
      </c>
      <c r="J23" s="38">
        <v>1630.7</v>
      </c>
      <c r="K23" s="38">
        <v>14</v>
      </c>
      <c r="L23" s="38">
        <v>1271.4000000000001</v>
      </c>
      <c r="M23" s="38">
        <v>2</v>
      </c>
      <c r="N23" s="38">
        <v>204</v>
      </c>
      <c r="O23" s="38"/>
      <c r="P23" s="38"/>
      <c r="Q23" s="38"/>
      <c r="R23" s="38"/>
      <c r="S23" s="40">
        <f t="shared" si="0"/>
        <v>80</v>
      </c>
    </row>
    <row r="24" spans="1:19" s="40" customFormat="1">
      <c r="A24" s="44">
        <v>28</v>
      </c>
      <c r="B24" s="38" t="s">
        <v>107</v>
      </c>
      <c r="C24" s="38">
        <v>3410.9</v>
      </c>
      <c r="D24" s="39">
        <v>2208.4</v>
      </c>
      <c r="E24" s="38">
        <v>1260.2</v>
      </c>
      <c r="F24" s="38">
        <v>595.9</v>
      </c>
      <c r="G24" s="38">
        <v>33</v>
      </c>
      <c r="H24" s="38">
        <v>1116.9000000000001</v>
      </c>
      <c r="I24" s="38">
        <v>33</v>
      </c>
      <c r="J24" s="38">
        <v>1091.5</v>
      </c>
      <c r="K24" s="38"/>
      <c r="L24" s="38"/>
      <c r="M24" s="38"/>
      <c r="N24" s="38"/>
      <c r="O24" s="38"/>
      <c r="P24" s="38"/>
      <c r="Q24" s="38"/>
      <c r="R24" s="38"/>
      <c r="S24" s="40">
        <f t="shared" si="0"/>
        <v>66</v>
      </c>
    </row>
    <row r="25" spans="1:19" s="40" customFormat="1">
      <c r="A25" s="44">
        <v>29</v>
      </c>
      <c r="B25" s="38" t="s">
        <v>108</v>
      </c>
      <c r="C25" s="38">
        <v>5388</v>
      </c>
      <c r="D25" s="39">
        <v>4041</v>
      </c>
      <c r="E25" s="38">
        <v>2751.5</v>
      </c>
      <c r="F25" s="38">
        <v>921.4</v>
      </c>
      <c r="G25" s="38"/>
      <c r="H25" s="38"/>
      <c r="I25" s="38">
        <v>48</v>
      </c>
      <c r="J25" s="38">
        <v>2364.1999999999998</v>
      </c>
      <c r="K25" s="38">
        <v>16</v>
      </c>
      <c r="L25" s="38">
        <v>1676.8</v>
      </c>
      <c r="M25" s="38"/>
      <c r="N25" s="38"/>
      <c r="O25" s="38"/>
      <c r="P25" s="38"/>
      <c r="Q25" s="38"/>
      <c r="R25" s="38"/>
      <c r="S25" s="40">
        <f t="shared" si="0"/>
        <v>64</v>
      </c>
    </row>
    <row r="26" spans="1:19" s="40" customFormat="1">
      <c r="A26" s="44">
        <v>30</v>
      </c>
      <c r="B26" s="38" t="s">
        <v>109</v>
      </c>
      <c r="C26" s="38">
        <v>3429.9</v>
      </c>
      <c r="D26" s="39">
        <v>2180.5</v>
      </c>
      <c r="E26" s="38">
        <v>1267.7</v>
      </c>
      <c r="F26" s="38">
        <v>648.4</v>
      </c>
      <c r="G26" s="38">
        <v>32</v>
      </c>
      <c r="H26" s="38">
        <v>1034</v>
      </c>
      <c r="I26" s="38">
        <v>24</v>
      </c>
      <c r="J26" s="38">
        <v>1146.5</v>
      </c>
      <c r="K26" s="38"/>
      <c r="L26" s="38"/>
      <c r="M26" s="38"/>
      <c r="N26" s="38"/>
      <c r="O26" s="38"/>
      <c r="P26" s="38"/>
      <c r="Q26" s="38"/>
      <c r="R26" s="38"/>
      <c r="S26" s="40">
        <f t="shared" si="0"/>
        <v>56</v>
      </c>
    </row>
    <row r="27" spans="1:19" s="40" customFormat="1">
      <c r="A27" s="44">
        <v>31</v>
      </c>
      <c r="B27" s="38" t="s">
        <v>110</v>
      </c>
      <c r="C27" s="38">
        <v>6344.4</v>
      </c>
      <c r="D27" s="39">
        <v>4784.1000000000004</v>
      </c>
      <c r="E27" s="38">
        <v>3027.2</v>
      </c>
      <c r="F27" s="38">
        <v>1128.4000000000001</v>
      </c>
      <c r="G27" s="38">
        <v>33</v>
      </c>
      <c r="H27" s="38">
        <v>1088.2</v>
      </c>
      <c r="I27" s="38">
        <v>40</v>
      </c>
      <c r="J27" s="38">
        <v>1944.8</v>
      </c>
      <c r="K27" s="38">
        <v>11</v>
      </c>
      <c r="L27" s="38">
        <v>940.1</v>
      </c>
      <c r="M27" s="38">
        <v>8</v>
      </c>
      <c r="N27" s="38">
        <v>811</v>
      </c>
      <c r="O27" s="38"/>
      <c r="P27" s="38"/>
      <c r="Q27" s="38"/>
      <c r="R27" s="38"/>
      <c r="S27" s="40">
        <f t="shared" si="0"/>
        <v>92</v>
      </c>
    </row>
    <row r="28" spans="1:19" s="40" customFormat="1">
      <c r="A28" s="44">
        <v>32</v>
      </c>
      <c r="B28" s="38" t="s">
        <v>111</v>
      </c>
      <c r="C28" s="38">
        <v>3398.9</v>
      </c>
      <c r="D28" s="39">
        <v>2161</v>
      </c>
      <c r="E28" s="38">
        <v>1238.7</v>
      </c>
      <c r="F28" s="38">
        <v>649</v>
      </c>
      <c r="G28" s="38">
        <v>32</v>
      </c>
      <c r="H28" s="38">
        <v>1020.5</v>
      </c>
      <c r="I28" s="38">
        <v>24</v>
      </c>
      <c r="J28" s="38">
        <v>1140.5</v>
      </c>
      <c r="K28" s="38"/>
      <c r="L28" s="38"/>
      <c r="M28" s="38"/>
      <c r="N28" s="38"/>
      <c r="O28" s="38"/>
      <c r="P28" s="38"/>
      <c r="Q28" s="38"/>
      <c r="R28" s="38"/>
      <c r="S28" s="40">
        <f t="shared" si="0"/>
        <v>56</v>
      </c>
    </row>
    <row r="29" spans="1:19" s="40" customFormat="1">
      <c r="A29" s="44">
        <v>33</v>
      </c>
      <c r="B29" s="38" t="s">
        <v>112</v>
      </c>
      <c r="C29" s="38">
        <v>3418.6</v>
      </c>
      <c r="D29" s="39">
        <v>2209.5</v>
      </c>
      <c r="E29" s="38">
        <v>1294.4000000000001</v>
      </c>
      <c r="F29" s="38">
        <v>598.20000000000005</v>
      </c>
      <c r="G29" s="38">
        <v>31</v>
      </c>
      <c r="H29" s="38">
        <v>1026.2</v>
      </c>
      <c r="I29" s="38">
        <v>33</v>
      </c>
      <c r="J29" s="38">
        <v>1096.8</v>
      </c>
      <c r="K29" s="38">
        <v>1</v>
      </c>
      <c r="L29" s="38">
        <v>86.5</v>
      </c>
      <c r="M29" s="38"/>
      <c r="N29" s="38"/>
      <c r="O29" s="38"/>
      <c r="P29" s="38"/>
      <c r="Q29" s="38"/>
      <c r="R29" s="38"/>
      <c r="S29" s="40">
        <f t="shared" si="0"/>
        <v>65</v>
      </c>
    </row>
    <row r="30" spans="1:19" s="40" customFormat="1">
      <c r="A30" s="44">
        <v>34</v>
      </c>
      <c r="B30" s="38" t="s">
        <v>113</v>
      </c>
      <c r="C30" s="38">
        <v>3405.9</v>
      </c>
      <c r="D30" s="39">
        <v>2200.6999999999998</v>
      </c>
      <c r="E30" s="38">
        <v>1260.2</v>
      </c>
      <c r="F30" s="38">
        <v>597.1</v>
      </c>
      <c r="G30" s="38">
        <v>32</v>
      </c>
      <c r="H30" s="38">
        <v>1056.5</v>
      </c>
      <c r="I30" s="38">
        <v>24</v>
      </c>
      <c r="J30" s="38">
        <v>1144.2</v>
      </c>
      <c r="K30" s="38"/>
      <c r="L30" s="38"/>
      <c r="M30" s="38"/>
      <c r="N30" s="38"/>
      <c r="O30" s="38"/>
      <c r="P30" s="38"/>
      <c r="Q30" s="38"/>
      <c r="R30" s="38"/>
      <c r="S30" s="40">
        <f t="shared" si="0"/>
        <v>56</v>
      </c>
    </row>
    <row r="31" spans="1:19" s="40" customFormat="1">
      <c r="A31" s="44">
        <v>35</v>
      </c>
      <c r="B31" s="38" t="s">
        <v>114</v>
      </c>
      <c r="C31" s="38">
        <v>3404.7</v>
      </c>
      <c r="D31" s="39">
        <v>2201.1</v>
      </c>
      <c r="E31" s="38">
        <v>1258.5</v>
      </c>
      <c r="F31" s="38">
        <v>596.79999999999995</v>
      </c>
      <c r="G31" s="38">
        <v>32</v>
      </c>
      <c r="H31" s="38">
        <v>1060.5</v>
      </c>
      <c r="I31" s="38">
        <v>24</v>
      </c>
      <c r="J31" s="38">
        <v>1140.5999999999999</v>
      </c>
      <c r="K31" s="38"/>
      <c r="L31" s="38"/>
      <c r="M31" s="38"/>
      <c r="N31" s="38"/>
      <c r="O31" s="38"/>
      <c r="P31" s="38"/>
      <c r="Q31" s="38"/>
      <c r="R31" s="38"/>
      <c r="S31" s="40">
        <f t="shared" si="0"/>
        <v>56</v>
      </c>
    </row>
    <row r="32" spans="1:19" s="40" customFormat="1">
      <c r="A32" s="44">
        <v>36</v>
      </c>
      <c r="B32" s="38" t="s">
        <v>115</v>
      </c>
      <c r="C32" s="38">
        <v>6723.6</v>
      </c>
      <c r="D32" s="39">
        <v>4373.3</v>
      </c>
      <c r="E32" s="38">
        <v>2438.1999999999998</v>
      </c>
      <c r="F32" s="38">
        <v>1106.5999999999999</v>
      </c>
      <c r="G32" s="38">
        <v>58</v>
      </c>
      <c r="H32" s="38">
        <v>2329.8000000000002</v>
      </c>
      <c r="I32" s="38">
        <v>42</v>
      </c>
      <c r="J32" s="38">
        <v>2043.5</v>
      </c>
      <c r="K32" s="38"/>
      <c r="L32" s="38"/>
      <c r="M32" s="38"/>
      <c r="N32" s="38"/>
      <c r="O32" s="38"/>
      <c r="P32" s="38"/>
      <c r="Q32" s="38"/>
      <c r="R32" s="38"/>
      <c r="S32" s="40">
        <f t="shared" si="0"/>
        <v>100</v>
      </c>
    </row>
    <row r="33" spans="1:23" s="40" customFormat="1">
      <c r="A33" s="44">
        <v>37</v>
      </c>
      <c r="B33" s="38" t="s">
        <v>116</v>
      </c>
      <c r="C33" s="38">
        <v>1703.5</v>
      </c>
      <c r="D33" s="39">
        <v>1103.5</v>
      </c>
      <c r="E33" s="38">
        <v>613.79999999999995</v>
      </c>
      <c r="F33" s="38">
        <v>280.7</v>
      </c>
      <c r="G33" s="38">
        <v>17</v>
      </c>
      <c r="H33" s="38">
        <v>584.5</v>
      </c>
      <c r="I33" s="38">
        <v>11</v>
      </c>
      <c r="J33" s="38">
        <v>519</v>
      </c>
      <c r="K33" s="38"/>
      <c r="L33" s="38"/>
      <c r="M33" s="38"/>
      <c r="N33" s="38"/>
      <c r="O33" s="38"/>
      <c r="P33" s="38"/>
      <c r="Q33" s="38"/>
      <c r="R33" s="38"/>
      <c r="S33" s="40">
        <f t="shared" si="0"/>
        <v>28</v>
      </c>
    </row>
    <row r="34" spans="1:23">
      <c r="A34" s="41"/>
      <c r="B34" s="35" t="s">
        <v>98</v>
      </c>
      <c r="C34" s="35">
        <f>C33+C32+C31+C30+C29+C28+C27+C26+C25+C24+C23+C22+C21+C20+C19+C18+C17</f>
        <v>81472.900000000009</v>
      </c>
      <c r="D34" s="36">
        <f>D33+D32+D31+D30+D29+D28+D27+D26+D25+D24+D23+D22+D21+D20+D19+D18+D17</f>
        <v>52561.69999999999</v>
      </c>
      <c r="E34" s="35">
        <f>E33+E32+E31+E30+E29+E28+E27+E26+E25+E24+E23+E22+E21+E20+E19+E18+E17</f>
        <v>31295.1</v>
      </c>
      <c r="F34" s="35">
        <f>F33+F32+F31+F30+F29+F28+F27+F26+F25+F24+F23+F22+F21+F20+F19+F18+F17</f>
        <v>13111.1</v>
      </c>
      <c r="G34" s="35">
        <f>G33+G32+G31+G30+G29+G28+G27+G26+G25+G24+G23+G22+G21+G20+G19+G18+G17</f>
        <v>475</v>
      </c>
      <c r="H34" s="35">
        <f t="shared" ref="H34:N34" si="2">H33+H32+H31+H30+H29+H28+H27+H26+H25+H24+H23+H22+H21+H20+H19+H18+H17</f>
        <v>16748.8</v>
      </c>
      <c r="I34" s="35">
        <f t="shared" si="2"/>
        <v>529</v>
      </c>
      <c r="J34" s="35">
        <f t="shared" si="2"/>
        <v>24549.4</v>
      </c>
      <c r="K34" s="35">
        <f t="shared" si="2"/>
        <v>108</v>
      </c>
      <c r="L34" s="35">
        <f t="shared" si="2"/>
        <v>10395.1</v>
      </c>
      <c r="M34" s="35">
        <f t="shared" si="2"/>
        <v>12</v>
      </c>
      <c r="N34" s="35">
        <f t="shared" si="2"/>
        <v>1219</v>
      </c>
      <c r="O34" s="33"/>
      <c r="P34" s="33"/>
      <c r="Q34" s="33"/>
      <c r="R34" s="33"/>
    </row>
    <row r="35" spans="1:23" ht="14.4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</row>
    <row r="39" spans="1:23" ht="15.6">
      <c r="G39" s="114" t="s">
        <v>117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20"/>
    </row>
    <row r="40" spans="1:23" ht="14.4">
      <c r="G40"/>
      <c r="H40"/>
      <c r="I40"/>
      <c r="J40" s="113"/>
      <c r="K40" s="113"/>
      <c r="L40" s="113"/>
      <c r="M40" s="113"/>
      <c r="N40"/>
      <c r="O40" s="113"/>
      <c r="P40" s="113"/>
      <c r="Q40" s="113"/>
      <c r="R40"/>
      <c r="S40" s="113"/>
      <c r="T40" s="113"/>
      <c r="U40"/>
      <c r="V40" s="113"/>
      <c r="W40" s="113"/>
    </row>
    <row r="41" spans="1:23" ht="15" thickBot="1">
      <c r="G41"/>
      <c r="H41"/>
      <c r="I41"/>
      <c r="J41" s="112"/>
      <c r="K41" s="112"/>
      <c r="L41" s="112"/>
      <c r="M41" s="112"/>
      <c r="N41"/>
      <c r="O41" s="112"/>
      <c r="P41" s="112"/>
      <c r="Q41" s="112"/>
      <c r="R41"/>
      <c r="S41" s="113"/>
      <c r="T41" s="113"/>
      <c r="U41"/>
      <c r="V41" s="113"/>
      <c r="W41" s="113"/>
    </row>
    <row r="42" spans="1:23" ht="16.2" thickBot="1">
      <c r="G42" s="98" t="s">
        <v>1</v>
      </c>
      <c r="H42" s="100" t="s">
        <v>118</v>
      </c>
      <c r="I42" s="102" t="s">
        <v>73</v>
      </c>
      <c r="J42" s="103"/>
      <c r="K42" s="103"/>
      <c r="L42" s="103"/>
      <c r="M42" s="103"/>
      <c r="N42" s="103"/>
      <c r="O42" s="103"/>
      <c r="P42" s="104"/>
      <c r="Q42" s="105" t="s">
        <v>78</v>
      </c>
      <c r="R42" s="105"/>
      <c r="S42" s="106"/>
      <c r="T42" s="91"/>
      <c r="U42" s="92"/>
      <c r="V42" s="92"/>
      <c r="W42" s="92"/>
    </row>
    <row r="43" spans="1:23" ht="16.2" thickBot="1">
      <c r="G43" s="99"/>
      <c r="H43" s="101"/>
      <c r="I43" s="102" t="s">
        <v>79</v>
      </c>
      <c r="J43" s="109"/>
      <c r="K43" s="110" t="s">
        <v>80</v>
      </c>
      <c r="L43" s="111"/>
      <c r="M43" s="102" t="s">
        <v>81</v>
      </c>
      <c r="N43" s="103"/>
      <c r="O43" s="109"/>
      <c r="P43" s="45" t="s">
        <v>119</v>
      </c>
      <c r="Q43" s="107"/>
      <c r="R43" s="107"/>
      <c r="S43" s="108"/>
      <c r="T43" s="91"/>
      <c r="U43" s="92"/>
      <c r="V43" s="92"/>
      <c r="W43" s="92"/>
    </row>
    <row r="44" spans="1:23" ht="16.2" thickBot="1">
      <c r="G44" s="46" t="s">
        <v>120</v>
      </c>
      <c r="H44" s="47" t="s">
        <v>121</v>
      </c>
      <c r="I44" s="88">
        <v>4024.5</v>
      </c>
      <c r="J44" s="89"/>
      <c r="K44" s="93">
        <v>2758.2</v>
      </c>
      <c r="L44" s="94"/>
      <c r="M44" s="88">
        <v>1391</v>
      </c>
      <c r="N44" s="90"/>
      <c r="O44" s="89"/>
      <c r="P44" s="48">
        <v>588.9</v>
      </c>
      <c r="Q44" s="95">
        <v>2012</v>
      </c>
      <c r="R44" s="96"/>
      <c r="S44" s="97"/>
      <c r="T44" s="91"/>
      <c r="U44" s="92"/>
      <c r="V44" s="92"/>
      <c r="W44" s="92"/>
    </row>
    <row r="45" spans="1:23" ht="16.2" thickBot="1">
      <c r="G45" s="46">
        <v>2</v>
      </c>
      <c r="H45" s="47" t="s">
        <v>122</v>
      </c>
      <c r="I45" s="88">
        <v>1723.1</v>
      </c>
      <c r="J45" s="89"/>
      <c r="K45" s="93">
        <v>1087.5</v>
      </c>
      <c r="L45" s="94"/>
      <c r="M45" s="88">
        <v>543.6</v>
      </c>
      <c r="N45" s="90"/>
      <c r="O45" s="89"/>
      <c r="P45" s="48">
        <v>391.6</v>
      </c>
      <c r="Q45" s="88">
        <v>2012</v>
      </c>
      <c r="R45" s="90"/>
      <c r="S45" s="89"/>
      <c r="T45" s="91"/>
      <c r="U45" s="92"/>
      <c r="V45" s="92"/>
      <c r="W45" s="92"/>
    </row>
    <row r="46" spans="1:23" ht="16.2" thickBot="1">
      <c r="G46" s="46">
        <v>3</v>
      </c>
      <c r="H46" s="47" t="s">
        <v>123</v>
      </c>
      <c r="I46" s="88">
        <v>2477</v>
      </c>
      <c r="J46" s="89"/>
      <c r="K46" s="93">
        <v>1690</v>
      </c>
      <c r="L46" s="94"/>
      <c r="M46" s="88">
        <v>823.4</v>
      </c>
      <c r="N46" s="90"/>
      <c r="O46" s="89"/>
      <c r="P46" s="48">
        <v>391.6</v>
      </c>
      <c r="Q46" s="88">
        <v>2012</v>
      </c>
      <c r="R46" s="90"/>
      <c r="S46" s="89"/>
      <c r="T46" s="91"/>
      <c r="U46" s="92"/>
      <c r="V46" s="92"/>
      <c r="W46" s="92"/>
    </row>
    <row r="47" spans="1:23" ht="16.2" thickBot="1">
      <c r="G47" s="46">
        <v>4</v>
      </c>
      <c r="H47" s="47" t="s">
        <v>124</v>
      </c>
      <c r="I47" s="88">
        <v>2523.6999999999998</v>
      </c>
      <c r="J47" s="89"/>
      <c r="K47" s="88">
        <v>1677.1</v>
      </c>
      <c r="L47" s="89"/>
      <c r="M47" s="88">
        <v>860.9</v>
      </c>
      <c r="N47" s="90"/>
      <c r="O47" s="89"/>
      <c r="P47" s="48">
        <v>393.8</v>
      </c>
      <c r="Q47" s="88">
        <v>2012</v>
      </c>
      <c r="R47" s="90"/>
      <c r="S47" s="89"/>
      <c r="T47" s="91"/>
      <c r="U47" s="92"/>
      <c r="V47" s="92"/>
      <c r="W47" s="92"/>
    </row>
    <row r="48" spans="1:23" ht="16.2" thickBot="1">
      <c r="G48" s="46">
        <v>5</v>
      </c>
      <c r="H48" s="48" t="s">
        <v>125</v>
      </c>
      <c r="I48" s="88">
        <v>656.3</v>
      </c>
      <c r="J48" s="89"/>
      <c r="K48" s="93">
        <v>399.5</v>
      </c>
      <c r="L48" s="94"/>
      <c r="M48" s="88">
        <v>183.3</v>
      </c>
      <c r="N48" s="90"/>
      <c r="O48" s="89"/>
      <c r="P48" s="48">
        <v>0</v>
      </c>
      <c r="Q48" s="88">
        <v>2011</v>
      </c>
      <c r="R48" s="90"/>
      <c r="S48" s="89"/>
      <c r="T48" s="91"/>
      <c r="U48" s="92"/>
      <c r="V48" s="92"/>
      <c r="W48" s="92"/>
    </row>
    <row r="49" spans="7:23" ht="16.2" thickBot="1">
      <c r="G49" s="46">
        <v>6</v>
      </c>
      <c r="H49" s="48" t="s">
        <v>126</v>
      </c>
      <c r="I49" s="88">
        <v>1302.9000000000001</v>
      </c>
      <c r="J49" s="89"/>
      <c r="K49" s="88">
        <v>803.8</v>
      </c>
      <c r="L49" s="89"/>
      <c r="M49" s="88">
        <v>348.6</v>
      </c>
      <c r="N49" s="90"/>
      <c r="O49" s="89"/>
      <c r="P49" s="48">
        <v>374.5</v>
      </c>
      <c r="Q49" s="88">
        <v>2011</v>
      </c>
      <c r="R49" s="90"/>
      <c r="S49" s="89"/>
      <c r="T49" s="91"/>
      <c r="U49" s="92"/>
      <c r="V49" s="92"/>
      <c r="W49" s="92"/>
    </row>
    <row r="50" spans="7:23" ht="16.2" thickBot="1">
      <c r="G50" s="46">
        <v>7</v>
      </c>
      <c r="H50" s="48" t="s">
        <v>127</v>
      </c>
      <c r="I50" s="88">
        <v>667.2</v>
      </c>
      <c r="J50" s="89"/>
      <c r="K50" s="88">
        <v>409.5</v>
      </c>
      <c r="L50" s="89"/>
      <c r="M50" s="88">
        <v>183.9</v>
      </c>
      <c r="N50" s="90"/>
      <c r="O50" s="89"/>
      <c r="P50" s="48">
        <v>199</v>
      </c>
      <c r="Q50" s="88">
        <v>2011</v>
      </c>
      <c r="R50" s="90"/>
      <c r="S50" s="89"/>
      <c r="T50" s="91"/>
      <c r="U50" s="92"/>
      <c r="V50" s="92"/>
      <c r="W50" s="92"/>
    </row>
    <row r="51" spans="7:23" ht="16.2" thickBot="1">
      <c r="G51" s="46">
        <v>8</v>
      </c>
      <c r="H51" s="48" t="s">
        <v>128</v>
      </c>
      <c r="I51" s="88">
        <v>665.3</v>
      </c>
      <c r="J51" s="89"/>
      <c r="K51" s="88">
        <v>413.7</v>
      </c>
      <c r="L51" s="89"/>
      <c r="M51" s="88">
        <v>185.1</v>
      </c>
      <c r="N51" s="90"/>
      <c r="O51" s="89"/>
      <c r="P51" s="48">
        <v>188.6</v>
      </c>
      <c r="Q51" s="88">
        <v>2011</v>
      </c>
      <c r="R51" s="90"/>
      <c r="S51" s="89"/>
      <c r="T51" s="91"/>
      <c r="U51" s="92"/>
      <c r="V51" s="92"/>
      <c r="W51" s="92"/>
    </row>
    <row r="52" spans="7:23" ht="16.2" thickBot="1">
      <c r="G52" s="46">
        <v>9</v>
      </c>
      <c r="H52" s="48" t="s">
        <v>129</v>
      </c>
      <c r="I52" s="88">
        <v>656.4</v>
      </c>
      <c r="J52" s="89"/>
      <c r="K52" s="88">
        <v>403.8</v>
      </c>
      <c r="L52" s="89"/>
      <c r="M52" s="88">
        <v>184.2</v>
      </c>
      <c r="N52" s="90"/>
      <c r="O52" s="89"/>
      <c r="P52" s="48">
        <v>186.1</v>
      </c>
      <c r="Q52" s="88">
        <v>2011</v>
      </c>
      <c r="R52" s="90"/>
      <c r="S52" s="89"/>
      <c r="T52" s="91"/>
      <c r="U52" s="92"/>
      <c r="V52" s="92"/>
      <c r="W52" s="92"/>
    </row>
    <row r="53" spans="7:23" ht="16.2" thickBot="1">
      <c r="G53" s="46">
        <v>10</v>
      </c>
      <c r="H53" s="48" t="s">
        <v>130</v>
      </c>
      <c r="I53" s="88">
        <v>656.7</v>
      </c>
      <c r="J53" s="89"/>
      <c r="K53" s="88">
        <v>404.1</v>
      </c>
      <c r="L53" s="89"/>
      <c r="M53" s="88">
        <v>183.9</v>
      </c>
      <c r="N53" s="90"/>
      <c r="O53" s="89"/>
      <c r="P53" s="48">
        <v>185.3</v>
      </c>
      <c r="Q53" s="88">
        <v>2011</v>
      </c>
      <c r="R53" s="90"/>
      <c r="S53" s="89"/>
      <c r="T53" s="91"/>
      <c r="U53" s="92"/>
      <c r="V53" s="92"/>
      <c r="W53" s="92"/>
    </row>
    <row r="54" spans="7:23" ht="16.2" thickBot="1">
      <c r="G54" s="46">
        <v>11</v>
      </c>
      <c r="H54" s="48" t="s">
        <v>131</v>
      </c>
      <c r="I54" s="88">
        <v>1321.5</v>
      </c>
      <c r="J54" s="89"/>
      <c r="K54" s="88">
        <v>807.7</v>
      </c>
      <c r="L54" s="89"/>
      <c r="M54" s="88">
        <v>366.3</v>
      </c>
      <c r="N54" s="90"/>
      <c r="O54" s="89"/>
      <c r="P54" s="48">
        <v>373.6</v>
      </c>
      <c r="Q54" s="88">
        <v>2011</v>
      </c>
      <c r="R54" s="90"/>
      <c r="S54" s="89"/>
      <c r="T54" s="91"/>
      <c r="U54" s="92"/>
      <c r="V54" s="92"/>
      <c r="W54" s="92"/>
    </row>
  </sheetData>
  <mergeCells count="94">
    <mergeCell ref="A5:R5"/>
    <mergeCell ref="A16:R16"/>
    <mergeCell ref="A35:R35"/>
    <mergeCell ref="F3:F4"/>
    <mergeCell ref="G3:H3"/>
    <mergeCell ref="I3:J3"/>
    <mergeCell ref="K3:L3"/>
    <mergeCell ref="M3:N3"/>
    <mergeCell ref="O3:P3"/>
    <mergeCell ref="A1:R1"/>
    <mergeCell ref="A2:A4"/>
    <mergeCell ref="B2:B4"/>
    <mergeCell ref="C2:F2"/>
    <mergeCell ref="G2:P2"/>
    <mergeCell ref="Q2:Q4"/>
    <mergeCell ref="R2:R4"/>
    <mergeCell ref="C3:C4"/>
    <mergeCell ref="D3:D4"/>
    <mergeCell ref="E3:E4"/>
    <mergeCell ref="G39:V39"/>
    <mergeCell ref="J40:K40"/>
    <mergeCell ref="L40:M40"/>
    <mergeCell ref="O40:Q40"/>
    <mergeCell ref="S40:T40"/>
    <mergeCell ref="V40:W40"/>
    <mergeCell ref="J41:K41"/>
    <mergeCell ref="L41:M41"/>
    <mergeCell ref="O41:Q41"/>
    <mergeCell ref="S41:T41"/>
    <mergeCell ref="V41:W41"/>
    <mergeCell ref="G42:G43"/>
    <mergeCell ref="H42:H43"/>
    <mergeCell ref="I42:P42"/>
    <mergeCell ref="Q42:S43"/>
    <mergeCell ref="T42:W42"/>
    <mergeCell ref="I43:J43"/>
    <mergeCell ref="K43:L43"/>
    <mergeCell ref="M43:O43"/>
    <mergeCell ref="T43:W43"/>
    <mergeCell ref="I44:J44"/>
    <mergeCell ref="K44:L44"/>
    <mergeCell ref="M44:O44"/>
    <mergeCell ref="Q44:S44"/>
    <mergeCell ref="T44:W44"/>
    <mergeCell ref="I45:J45"/>
    <mergeCell ref="K45:L45"/>
    <mergeCell ref="M45:O45"/>
    <mergeCell ref="Q45:S45"/>
    <mergeCell ref="T45:W45"/>
    <mergeCell ref="I46:J46"/>
    <mergeCell ref="K46:L46"/>
    <mergeCell ref="M46:O46"/>
    <mergeCell ref="Q46:S46"/>
    <mergeCell ref="T46:W46"/>
    <mergeCell ref="I47:J47"/>
    <mergeCell ref="K47:L47"/>
    <mergeCell ref="M47:O47"/>
    <mergeCell ref="Q47:S47"/>
    <mergeCell ref="T47:W47"/>
    <mergeCell ref="I48:J48"/>
    <mergeCell ref="K48:L48"/>
    <mergeCell ref="M48:O48"/>
    <mergeCell ref="Q48:S48"/>
    <mergeCell ref="T48:W48"/>
    <mergeCell ref="I49:J49"/>
    <mergeCell ref="K49:L49"/>
    <mergeCell ref="M49:O49"/>
    <mergeCell ref="Q49:S49"/>
    <mergeCell ref="T49:W49"/>
    <mergeCell ref="I50:J50"/>
    <mergeCell ref="K50:L50"/>
    <mergeCell ref="M50:O50"/>
    <mergeCell ref="Q50:S50"/>
    <mergeCell ref="T50:W50"/>
    <mergeCell ref="I51:J51"/>
    <mergeCell ref="K51:L51"/>
    <mergeCell ref="M51:O51"/>
    <mergeCell ref="Q51:S51"/>
    <mergeCell ref="T51:W51"/>
    <mergeCell ref="I52:J52"/>
    <mergeCell ref="K52:L52"/>
    <mergeCell ref="M52:O52"/>
    <mergeCell ref="Q52:S52"/>
    <mergeCell ref="T52:W52"/>
    <mergeCell ref="I53:J53"/>
    <mergeCell ref="K53:L53"/>
    <mergeCell ref="M53:O53"/>
    <mergeCell ref="Q53:S53"/>
    <mergeCell ref="T53:W53"/>
    <mergeCell ref="I54:J54"/>
    <mergeCell ref="K54:L54"/>
    <mergeCell ref="M54:O54"/>
    <mergeCell ref="Q54:S54"/>
    <mergeCell ref="T54:W5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topLeftCell="A16" workbookViewId="0">
      <selection activeCell="B33" sqref="B33:D37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 ht="30" customHeight="1">
      <c r="A1" s="65" t="s">
        <v>0</v>
      </c>
      <c r="B1" s="65"/>
      <c r="C1" s="65"/>
      <c r="D1" s="65"/>
    </row>
    <row r="2" spans="1:4">
      <c r="A2" s="1"/>
      <c r="B2" s="1"/>
      <c r="C2" s="7"/>
      <c r="D2" s="7"/>
    </row>
    <row r="3" spans="1:4">
      <c r="A3" s="8" t="s">
        <v>1</v>
      </c>
      <c r="B3" s="8" t="s">
        <v>2</v>
      </c>
      <c r="C3" s="8" t="s">
        <v>3</v>
      </c>
      <c r="D3" s="8" t="s">
        <v>4</v>
      </c>
    </row>
    <row r="4" spans="1:4">
      <c r="A4" s="9">
        <v>1</v>
      </c>
      <c r="B4" s="10" t="s">
        <v>5</v>
      </c>
      <c r="C4" s="14" t="s">
        <v>133</v>
      </c>
      <c r="D4" s="11">
        <f>D5+D6+D7</f>
        <v>736721.64</v>
      </c>
    </row>
    <row r="5" spans="1:4">
      <c r="A5" s="9">
        <v>2</v>
      </c>
      <c r="B5" s="12" t="s">
        <v>6</v>
      </c>
      <c r="C5" s="14" t="s">
        <v>133</v>
      </c>
      <c r="D5" s="13">
        <f>12*10.64*3783.4</f>
        <v>483064.51200000005</v>
      </c>
    </row>
    <row r="6" spans="1:4">
      <c r="A6" s="9">
        <v>3</v>
      </c>
      <c r="B6" s="12" t="s">
        <v>7</v>
      </c>
      <c r="C6" s="14" t="s">
        <v>133</v>
      </c>
      <c r="D6" s="13">
        <f>12*3.91*3783.4</f>
        <v>177517.128</v>
      </c>
    </row>
    <row r="7" spans="1:4" ht="24">
      <c r="A7" s="9">
        <v>4</v>
      </c>
      <c r="B7" s="19" t="s">
        <v>51</v>
      </c>
      <c r="C7" s="14" t="s">
        <v>133</v>
      </c>
      <c r="D7" s="13">
        <f>12*135*47</f>
        <v>76140</v>
      </c>
    </row>
    <row r="8" spans="1:4">
      <c r="A8" s="9">
        <v>11</v>
      </c>
      <c r="B8" s="9"/>
      <c r="C8" s="14"/>
      <c r="D8" s="14"/>
    </row>
    <row r="9" spans="1:4">
      <c r="A9" s="9">
        <v>12</v>
      </c>
      <c r="B9" s="69" t="s">
        <v>8</v>
      </c>
      <c r="C9" s="70"/>
      <c r="D9" s="71"/>
    </row>
    <row r="10" spans="1:4">
      <c r="A10" s="9">
        <v>13</v>
      </c>
      <c r="B10" s="15" t="s">
        <v>9</v>
      </c>
      <c r="C10" s="14" t="s">
        <v>133</v>
      </c>
      <c r="D10" s="13">
        <f>12*1.93*3783.4</f>
        <v>87623.544000000009</v>
      </c>
    </row>
    <row r="11" spans="1:4">
      <c r="A11" s="9">
        <v>14</v>
      </c>
      <c r="B11" s="15" t="s">
        <v>10</v>
      </c>
      <c r="C11" s="14" t="s">
        <v>133</v>
      </c>
      <c r="D11" s="13">
        <f>12*1.55*3783.4</f>
        <v>70371.240000000005</v>
      </c>
    </row>
    <row r="12" spans="1:4">
      <c r="A12" s="9">
        <v>16</v>
      </c>
      <c r="B12" s="15" t="s">
        <v>12</v>
      </c>
      <c r="C12" s="14" t="s">
        <v>133</v>
      </c>
      <c r="D12" s="13">
        <f>12*1.65*3783.4</f>
        <v>74911.319999999992</v>
      </c>
    </row>
    <row r="13" spans="1:4">
      <c r="A13" s="9">
        <v>19</v>
      </c>
      <c r="B13" s="15" t="s">
        <v>15</v>
      </c>
      <c r="C13" s="14" t="s">
        <v>133</v>
      </c>
      <c r="D13" s="13">
        <f>12*0.78*3783.4</f>
        <v>35412.623999999996</v>
      </c>
    </row>
    <row r="14" spans="1:4">
      <c r="A14" s="9">
        <v>20</v>
      </c>
      <c r="B14" s="15" t="s">
        <v>16</v>
      </c>
      <c r="C14" s="14" t="s">
        <v>133</v>
      </c>
      <c r="D14" s="13">
        <f>12*1.36*3783.4</f>
        <v>61745.088000000003</v>
      </c>
    </row>
    <row r="15" spans="1:4">
      <c r="A15" s="9">
        <v>21</v>
      </c>
      <c r="B15" s="15" t="s">
        <v>17</v>
      </c>
      <c r="C15" s="14" t="s">
        <v>133</v>
      </c>
      <c r="D15" s="13">
        <f>12*0.85*3783.4</f>
        <v>38590.68</v>
      </c>
    </row>
    <row r="16" spans="1:4">
      <c r="A16" s="9">
        <v>22</v>
      </c>
      <c r="B16" s="15" t="s">
        <v>18</v>
      </c>
      <c r="C16" s="14" t="s">
        <v>133</v>
      </c>
      <c r="D16" s="13">
        <f>12*2.49*3783.4</f>
        <v>113047.99200000001</v>
      </c>
    </row>
    <row r="17" spans="1:4">
      <c r="A17" s="9">
        <v>23</v>
      </c>
      <c r="B17" s="15" t="s">
        <v>19</v>
      </c>
      <c r="C17" s="14" t="s">
        <v>133</v>
      </c>
      <c r="D17" s="13">
        <f>12*0.029*3783.4</f>
        <v>1316.6232000000002</v>
      </c>
    </row>
    <row r="18" spans="1:4">
      <c r="A18" s="9">
        <v>24</v>
      </c>
      <c r="B18" s="19" t="s">
        <v>141</v>
      </c>
      <c r="C18" s="14" t="s">
        <v>133</v>
      </c>
      <c r="D18" s="13">
        <f>12*135*47</f>
        <v>76140</v>
      </c>
    </row>
    <row r="19" spans="1:4">
      <c r="A19" s="9">
        <v>25</v>
      </c>
      <c r="B19" s="16" t="s">
        <v>20</v>
      </c>
      <c r="C19" s="14" t="s">
        <v>133</v>
      </c>
      <c r="D19" s="11">
        <f>D18+D17+D16+D15+D14+D13+D12+D11+D10</f>
        <v>559159.11120000004</v>
      </c>
    </row>
    <row r="20" spans="1:4">
      <c r="A20" s="9">
        <v>26</v>
      </c>
      <c r="B20" s="10" t="s">
        <v>21</v>
      </c>
      <c r="C20" s="14" t="s">
        <v>133</v>
      </c>
      <c r="D20" s="11">
        <f>D5-D19</f>
        <v>-76094.599199999997</v>
      </c>
    </row>
    <row r="21" spans="1:4">
      <c r="A21" s="9">
        <v>27</v>
      </c>
      <c r="B21" s="69" t="s">
        <v>22</v>
      </c>
      <c r="C21" s="70"/>
      <c r="D21" s="71"/>
    </row>
    <row r="22" spans="1:4">
      <c r="A22" s="9">
        <v>28</v>
      </c>
      <c r="B22" s="10" t="s">
        <v>23</v>
      </c>
      <c r="C22" s="14" t="s">
        <v>133</v>
      </c>
      <c r="D22" s="11"/>
    </row>
    <row r="23" spans="1:4">
      <c r="A23" s="9">
        <v>29</v>
      </c>
      <c r="B23" s="12" t="s">
        <v>24</v>
      </c>
      <c r="C23" s="14" t="s">
        <v>133</v>
      </c>
      <c r="D23" s="13">
        <v>3000</v>
      </c>
    </row>
    <row r="24" spans="1:4">
      <c r="A24" s="9">
        <v>35</v>
      </c>
      <c r="B24" s="12" t="s">
        <v>28</v>
      </c>
      <c r="C24" s="14" t="s">
        <v>133</v>
      </c>
      <c r="D24" s="13">
        <v>1500</v>
      </c>
    </row>
    <row r="25" spans="1:4">
      <c r="A25" s="9">
        <v>40</v>
      </c>
      <c r="B25" s="12" t="s">
        <v>30</v>
      </c>
      <c r="C25" s="14" t="s">
        <v>133</v>
      </c>
      <c r="D25" s="13">
        <v>2000</v>
      </c>
    </row>
    <row r="26" spans="1:4">
      <c r="A26" s="9">
        <v>43</v>
      </c>
      <c r="B26" s="12" t="s">
        <v>32</v>
      </c>
      <c r="C26" s="14" t="s">
        <v>133</v>
      </c>
      <c r="D26" s="13">
        <v>3000</v>
      </c>
    </row>
    <row r="27" spans="1:4">
      <c r="A27" s="9">
        <v>74</v>
      </c>
      <c r="B27" s="12" t="s">
        <v>38</v>
      </c>
      <c r="C27" s="14" t="s">
        <v>133</v>
      </c>
      <c r="D27" s="13">
        <v>6000</v>
      </c>
    </row>
    <row r="28" spans="1:4">
      <c r="A28" s="9">
        <v>75</v>
      </c>
      <c r="B28" s="12" t="s">
        <v>142</v>
      </c>
      <c r="C28" s="14" t="s">
        <v>133</v>
      </c>
      <c r="D28" s="13">
        <v>45000</v>
      </c>
    </row>
    <row r="29" spans="1:4">
      <c r="A29" s="9">
        <v>76</v>
      </c>
      <c r="B29" s="12" t="s">
        <v>42</v>
      </c>
      <c r="C29" s="14" t="s">
        <v>133</v>
      </c>
      <c r="D29" s="13">
        <v>44000</v>
      </c>
    </row>
    <row r="30" spans="1:4">
      <c r="A30" s="9">
        <v>84</v>
      </c>
      <c r="B30" s="12" t="s">
        <v>44</v>
      </c>
      <c r="C30" s="14" t="s">
        <v>133</v>
      </c>
      <c r="D30" s="13">
        <v>56000</v>
      </c>
    </row>
    <row r="31" spans="1:4">
      <c r="A31" s="9"/>
      <c r="B31" s="16" t="s">
        <v>20</v>
      </c>
      <c r="C31" s="14" t="s">
        <v>133</v>
      </c>
      <c r="D31" s="52">
        <f>D30+D29+D28+D27+D26+D25+D24</f>
        <v>157500</v>
      </c>
    </row>
    <row r="32" spans="1:4">
      <c r="A32" s="9">
        <v>100</v>
      </c>
      <c r="B32" s="10" t="s">
        <v>21</v>
      </c>
      <c r="C32" s="14" t="s">
        <v>133</v>
      </c>
      <c r="D32" s="11">
        <f>D6-D31</f>
        <v>20017.127999999997</v>
      </c>
    </row>
    <row r="33" spans="1:4">
      <c r="A33" s="59"/>
      <c r="B33" s="72" t="s">
        <v>137</v>
      </c>
      <c r="C33" s="72"/>
      <c r="D33" s="72"/>
    </row>
    <row r="34" spans="1:4">
      <c r="A34" s="59"/>
      <c r="B34" s="9" t="s">
        <v>138</v>
      </c>
      <c r="C34" s="14" t="s">
        <v>133</v>
      </c>
      <c r="D34" s="63">
        <v>15000</v>
      </c>
    </row>
    <row r="35" spans="1:4">
      <c r="A35" s="59"/>
      <c r="B35" s="9" t="s">
        <v>139</v>
      </c>
      <c r="C35" s="14" t="s">
        <v>133</v>
      </c>
      <c r="D35" s="63">
        <v>4000</v>
      </c>
    </row>
    <row r="36" spans="1:4">
      <c r="A36" s="59"/>
      <c r="B36" s="16" t="s">
        <v>20</v>
      </c>
      <c r="C36" s="14" t="s">
        <v>133</v>
      </c>
      <c r="D36" s="11">
        <f>D35+D34</f>
        <v>19000</v>
      </c>
    </row>
    <row r="37" spans="1:4">
      <c r="A37" s="59"/>
      <c r="B37" s="10" t="s">
        <v>21</v>
      </c>
      <c r="C37" s="14" t="s">
        <v>133</v>
      </c>
      <c r="D37" s="60">
        <f>D7-D36</f>
        <v>57140</v>
      </c>
    </row>
  </sheetData>
  <mergeCells count="4">
    <mergeCell ref="B21:D21"/>
    <mergeCell ref="A1:D1"/>
    <mergeCell ref="B9:D9"/>
    <mergeCell ref="B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topLeftCell="A19" workbookViewId="0">
      <selection activeCell="A37" sqref="A37:D41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4"/>
      <c r="B3" s="73"/>
      <c r="C3" s="73"/>
      <c r="D3" s="73"/>
    </row>
    <row r="4" spans="1:4">
      <c r="A4" s="1"/>
      <c r="B4" s="1"/>
      <c r="C4" s="7"/>
      <c r="D4" s="7"/>
    </row>
    <row r="5" spans="1:4">
      <c r="A5" s="8" t="s">
        <v>1</v>
      </c>
      <c r="B5" s="8" t="s">
        <v>2</v>
      </c>
      <c r="C5" s="8" t="s">
        <v>3</v>
      </c>
      <c r="D5" s="8" t="s">
        <v>4</v>
      </c>
    </row>
    <row r="6" spans="1:4">
      <c r="A6" s="9"/>
      <c r="B6" s="10" t="s">
        <v>5</v>
      </c>
      <c r="C6" s="14" t="s">
        <v>133</v>
      </c>
      <c r="D6" s="11">
        <f>D7+D8+D9</f>
        <v>1474654.14</v>
      </c>
    </row>
    <row r="7" spans="1:4">
      <c r="A7" s="9"/>
      <c r="B7" s="12" t="s">
        <v>6</v>
      </c>
      <c r="C7" s="14" t="s">
        <v>133</v>
      </c>
      <c r="D7" s="13">
        <f>12*10.64*7545.9</f>
        <v>963460.51199999999</v>
      </c>
    </row>
    <row r="8" spans="1:4">
      <c r="A8" s="9"/>
      <c r="B8" s="12" t="s">
        <v>7</v>
      </c>
      <c r="C8" s="14" t="s">
        <v>133</v>
      </c>
      <c r="D8" s="13">
        <f>12*3.91*7545.9</f>
        <v>354053.62799999997</v>
      </c>
    </row>
    <row r="9" spans="1:4" ht="24">
      <c r="A9" s="9"/>
      <c r="B9" s="19" t="s">
        <v>51</v>
      </c>
      <c r="C9" s="14" t="s">
        <v>133</v>
      </c>
      <c r="D9" s="13">
        <f>12*135*97</f>
        <v>157140</v>
      </c>
    </row>
    <row r="10" spans="1:4">
      <c r="A10" s="9"/>
      <c r="B10" s="9"/>
      <c r="C10" s="14"/>
      <c r="D10" s="14"/>
    </row>
    <row r="11" spans="1:4">
      <c r="A11" s="9"/>
      <c r="B11" s="69" t="s">
        <v>8</v>
      </c>
      <c r="C11" s="70"/>
      <c r="D11" s="71"/>
    </row>
    <row r="12" spans="1:4">
      <c r="A12" s="9"/>
      <c r="B12" s="15" t="s">
        <v>9</v>
      </c>
      <c r="C12" s="14" t="s">
        <v>133</v>
      </c>
      <c r="D12" s="13">
        <f>12*1.93*7545.9</f>
        <v>174763.04399999999</v>
      </c>
    </row>
    <row r="13" spans="1:4">
      <c r="A13" s="9"/>
      <c r="B13" s="15" t="s">
        <v>10</v>
      </c>
      <c r="C13" s="14" t="s">
        <v>133</v>
      </c>
      <c r="D13" s="13">
        <f>12*1.55*7545.9</f>
        <v>140353.74</v>
      </c>
    </row>
    <row r="14" spans="1:4">
      <c r="A14" s="9"/>
      <c r="B14" s="15" t="s">
        <v>12</v>
      </c>
      <c r="C14" s="14" t="s">
        <v>133</v>
      </c>
      <c r="D14" s="13">
        <f>12*1.65*7545.9</f>
        <v>149408.81999999998</v>
      </c>
    </row>
    <row r="15" spans="1:4">
      <c r="A15" s="9"/>
      <c r="B15" s="15" t="s">
        <v>15</v>
      </c>
      <c r="C15" s="14" t="s">
        <v>133</v>
      </c>
      <c r="D15" s="13">
        <f>12*0.78*7545.9</f>
        <v>70629.623999999996</v>
      </c>
    </row>
    <row r="16" spans="1:4">
      <c r="A16" s="9"/>
      <c r="B16" s="15" t="s">
        <v>16</v>
      </c>
      <c r="C16" s="14" t="s">
        <v>133</v>
      </c>
      <c r="D16" s="13">
        <f>12*1.36*7545.9</f>
        <v>123149.088</v>
      </c>
    </row>
    <row r="17" spans="1:4">
      <c r="A17" s="9"/>
      <c r="B17" s="15" t="s">
        <v>17</v>
      </c>
      <c r="C17" s="14" t="s">
        <v>133</v>
      </c>
      <c r="D17" s="13">
        <f>12*0.85*7545.9</f>
        <v>76968.179999999993</v>
      </c>
    </row>
    <row r="18" spans="1:4">
      <c r="A18" s="9"/>
      <c r="B18" s="15" t="s">
        <v>18</v>
      </c>
      <c r="C18" s="14" t="s">
        <v>133</v>
      </c>
      <c r="D18" s="13">
        <f>12*2.49*7545.9</f>
        <v>225471.492</v>
      </c>
    </row>
    <row r="19" spans="1:4">
      <c r="A19" s="9"/>
      <c r="B19" s="15" t="s">
        <v>19</v>
      </c>
      <c r="C19" s="14" t="s">
        <v>133</v>
      </c>
      <c r="D19" s="13">
        <f>12*0.029*7545.9</f>
        <v>2625.9731999999999</v>
      </c>
    </row>
    <row r="20" spans="1:4">
      <c r="A20" s="9"/>
      <c r="B20" s="19" t="s">
        <v>141</v>
      </c>
      <c r="C20" s="14" t="s">
        <v>133</v>
      </c>
      <c r="D20" s="13">
        <v>10000</v>
      </c>
    </row>
    <row r="21" spans="1:4">
      <c r="A21" s="9"/>
      <c r="B21" s="16" t="s">
        <v>20</v>
      </c>
      <c r="C21" s="14" t="s">
        <v>133</v>
      </c>
      <c r="D21" s="11">
        <f>D20+D19+D18+D17+D16+D15+D14+D13+D12</f>
        <v>973369.96120000002</v>
      </c>
    </row>
    <row r="22" spans="1:4">
      <c r="A22" s="9"/>
      <c r="B22" s="10" t="s">
        <v>21</v>
      </c>
      <c r="C22" s="14" t="s">
        <v>133</v>
      </c>
      <c r="D22" s="11">
        <f>D7-D21</f>
        <v>-9909.4492000000319</v>
      </c>
    </row>
    <row r="23" spans="1:4">
      <c r="A23" s="9"/>
      <c r="B23" s="69" t="s">
        <v>22</v>
      </c>
      <c r="C23" s="70"/>
      <c r="D23" s="71"/>
    </row>
    <row r="24" spans="1:4">
      <c r="A24" s="9"/>
      <c r="B24" s="10" t="s">
        <v>23</v>
      </c>
      <c r="C24" s="14" t="s">
        <v>133</v>
      </c>
      <c r="D24" s="11"/>
    </row>
    <row r="25" spans="1:4">
      <c r="A25" s="9"/>
      <c r="B25" s="12" t="s">
        <v>24</v>
      </c>
      <c r="C25" s="14" t="s">
        <v>133</v>
      </c>
      <c r="D25" s="13">
        <v>5000</v>
      </c>
    </row>
    <row r="26" spans="1:4">
      <c r="A26" s="9"/>
      <c r="B26" s="12" t="s">
        <v>25</v>
      </c>
      <c r="C26" s="14" t="s">
        <v>133</v>
      </c>
      <c r="D26" s="13">
        <v>4000</v>
      </c>
    </row>
    <row r="27" spans="1:4">
      <c r="A27" s="9"/>
      <c r="B27" s="12" t="s">
        <v>26</v>
      </c>
      <c r="C27" s="14" t="s">
        <v>133</v>
      </c>
      <c r="D27" s="13">
        <v>7000</v>
      </c>
    </row>
    <row r="28" spans="1:4" hidden="1">
      <c r="A28" s="9"/>
      <c r="B28" s="12" t="s">
        <v>30</v>
      </c>
      <c r="C28" s="14" t="s">
        <v>133</v>
      </c>
      <c r="D28" s="13"/>
    </row>
    <row r="29" spans="1:4">
      <c r="A29" s="9"/>
      <c r="B29" s="12" t="s">
        <v>31</v>
      </c>
      <c r="C29" s="14" t="s">
        <v>133</v>
      </c>
      <c r="D29" s="13">
        <v>5000</v>
      </c>
    </row>
    <row r="30" spans="1:4">
      <c r="A30" s="9"/>
      <c r="B30" s="12" t="s">
        <v>36</v>
      </c>
      <c r="C30" s="14" t="s">
        <v>133</v>
      </c>
      <c r="D30" s="13">
        <v>30000</v>
      </c>
    </row>
    <row r="31" spans="1:4">
      <c r="A31" s="9"/>
      <c r="B31" s="12" t="s">
        <v>38</v>
      </c>
      <c r="C31" s="14" t="s">
        <v>133</v>
      </c>
      <c r="D31" s="13">
        <v>16200</v>
      </c>
    </row>
    <row r="32" spans="1:4">
      <c r="A32" s="9"/>
      <c r="B32" s="12" t="s">
        <v>42</v>
      </c>
      <c r="C32" s="14" t="s">
        <v>133</v>
      </c>
      <c r="D32" s="13">
        <v>88000</v>
      </c>
    </row>
    <row r="33" spans="1:4">
      <c r="A33" s="9"/>
      <c r="B33" s="12" t="s">
        <v>43</v>
      </c>
      <c r="C33" s="14" t="s">
        <v>133</v>
      </c>
      <c r="D33" s="13">
        <v>88000</v>
      </c>
    </row>
    <row r="34" spans="1:4">
      <c r="A34" s="9"/>
      <c r="B34" s="12" t="s">
        <v>44</v>
      </c>
      <c r="C34" s="14" t="s">
        <v>133</v>
      </c>
      <c r="D34" s="13">
        <v>112000</v>
      </c>
    </row>
    <row r="35" spans="1:4">
      <c r="A35" s="9"/>
      <c r="B35" s="16" t="s">
        <v>20</v>
      </c>
      <c r="C35" s="14" t="s">
        <v>133</v>
      </c>
      <c r="D35" s="52">
        <f>D34+D33+D32+D31+D30+D29+D27+D26+D25</f>
        <v>355200</v>
      </c>
    </row>
    <row r="36" spans="1:4">
      <c r="A36" s="9">
        <v>100</v>
      </c>
      <c r="B36" s="10" t="s">
        <v>21</v>
      </c>
      <c r="C36" s="14" t="s">
        <v>133</v>
      </c>
      <c r="D36" s="11">
        <f>D8-D35</f>
        <v>-1146.3720000000321</v>
      </c>
    </row>
    <row r="37" spans="1:4">
      <c r="A37" s="59"/>
      <c r="B37" s="72" t="s">
        <v>137</v>
      </c>
      <c r="C37" s="72"/>
      <c r="D37" s="72"/>
    </row>
    <row r="38" spans="1:4">
      <c r="A38" s="59"/>
      <c r="B38" s="9" t="s">
        <v>138</v>
      </c>
      <c r="C38" s="14" t="s">
        <v>133</v>
      </c>
      <c r="D38" s="63">
        <v>30000</v>
      </c>
    </row>
    <row r="39" spans="1:4">
      <c r="A39" s="59"/>
      <c r="B39" s="9" t="s">
        <v>139</v>
      </c>
      <c r="C39" s="14" t="s">
        <v>133</v>
      </c>
      <c r="D39" s="63">
        <v>10000</v>
      </c>
    </row>
    <row r="40" spans="1:4">
      <c r="A40" s="59"/>
      <c r="B40" s="16" t="s">
        <v>20</v>
      </c>
      <c r="C40" s="14" t="s">
        <v>133</v>
      </c>
      <c r="D40" s="11">
        <f>D39+D38</f>
        <v>40000</v>
      </c>
    </row>
    <row r="41" spans="1:4">
      <c r="A41" s="59"/>
      <c r="B41" s="10" t="s">
        <v>21</v>
      </c>
      <c r="C41" s="14" t="s">
        <v>133</v>
      </c>
      <c r="D41" s="60">
        <f>D9-D40</f>
        <v>117140</v>
      </c>
    </row>
  </sheetData>
  <mergeCells count="5">
    <mergeCell ref="B23:D23"/>
    <mergeCell ref="A2:D2"/>
    <mergeCell ref="B3:D3"/>
    <mergeCell ref="B11:D11"/>
    <mergeCell ref="B37:D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topLeftCell="A19" workbookViewId="0">
      <selection activeCell="A38" sqref="A38:D42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1"/>
      <c r="B4" s="1"/>
      <c r="C4" s="7"/>
      <c r="D4" s="7"/>
    </row>
    <row r="5" spans="1:4">
      <c r="A5" s="8" t="s">
        <v>1</v>
      </c>
      <c r="B5" s="8" t="s">
        <v>2</v>
      </c>
      <c r="C5" s="8" t="s">
        <v>3</v>
      </c>
      <c r="D5" s="8" t="s">
        <v>4</v>
      </c>
    </row>
    <row r="6" spans="1:4">
      <c r="A6" s="9">
        <v>1</v>
      </c>
      <c r="B6" s="10" t="s">
        <v>5</v>
      </c>
      <c r="C6" s="14" t="s">
        <v>133</v>
      </c>
      <c r="D6" s="11">
        <f>D7+D8+D9</f>
        <v>1100841.8400000001</v>
      </c>
    </row>
    <row r="7" spans="1:4">
      <c r="A7" s="9">
        <v>2</v>
      </c>
      <c r="B7" s="12" t="s">
        <v>6</v>
      </c>
      <c r="C7" s="14" t="s">
        <v>133</v>
      </c>
      <c r="D7" s="13">
        <f>12*10.64*5720.4</f>
        <v>730380.67200000002</v>
      </c>
    </row>
    <row r="8" spans="1:4">
      <c r="A8" s="9">
        <v>3</v>
      </c>
      <c r="B8" s="12" t="s">
        <v>7</v>
      </c>
      <c r="C8" s="14" t="s">
        <v>133</v>
      </c>
      <c r="D8" s="13">
        <f>12*3.91*5720.4</f>
        <v>268401.16800000001</v>
      </c>
    </row>
    <row r="9" spans="1:4" ht="24">
      <c r="A9" s="9">
        <v>4</v>
      </c>
      <c r="B9" s="19" t="s">
        <v>51</v>
      </c>
      <c r="C9" s="14" t="s">
        <v>133</v>
      </c>
      <c r="D9" s="13">
        <f>12*135*63</f>
        <v>102060</v>
      </c>
    </row>
    <row r="10" spans="1:4">
      <c r="A10" s="9"/>
      <c r="B10" s="9"/>
      <c r="C10" s="14"/>
      <c r="D10" s="14"/>
    </row>
    <row r="11" spans="1:4">
      <c r="A11" s="9"/>
      <c r="B11" s="69" t="s">
        <v>8</v>
      </c>
      <c r="C11" s="70"/>
      <c r="D11" s="71"/>
    </row>
    <row r="12" spans="1:4">
      <c r="A12" s="9"/>
      <c r="B12" s="15" t="s">
        <v>9</v>
      </c>
      <c r="C12" s="14" t="s">
        <v>133</v>
      </c>
      <c r="D12" s="13">
        <f>12*1.93*5720.4</f>
        <v>132484.46399999998</v>
      </c>
    </row>
    <row r="13" spans="1:4">
      <c r="A13" s="9"/>
      <c r="B13" s="15" t="s">
        <v>10</v>
      </c>
      <c r="C13" s="14" t="s">
        <v>133</v>
      </c>
      <c r="D13" s="13">
        <f>12*1.55*5720.4</f>
        <v>106399.44</v>
      </c>
    </row>
    <row r="14" spans="1:4">
      <c r="A14" s="9"/>
      <c r="B14" s="15" t="s">
        <v>12</v>
      </c>
      <c r="C14" s="14" t="s">
        <v>133</v>
      </c>
      <c r="D14" s="13">
        <f>12*1.65*5720.4</f>
        <v>113263.91999999998</v>
      </c>
    </row>
    <row r="15" spans="1:4">
      <c r="A15" s="9"/>
      <c r="B15" s="15" t="s">
        <v>15</v>
      </c>
      <c r="C15" s="14" t="s">
        <v>133</v>
      </c>
      <c r="D15" s="13">
        <f>12*0.78*5720.4</f>
        <v>53542.943999999996</v>
      </c>
    </row>
    <row r="16" spans="1:4">
      <c r="A16" s="9"/>
      <c r="B16" s="15" t="s">
        <v>16</v>
      </c>
      <c r="C16" s="14" t="s">
        <v>133</v>
      </c>
      <c r="D16" s="13">
        <f>12*1.36*5720.4</f>
        <v>93356.928</v>
      </c>
    </row>
    <row r="17" spans="1:4">
      <c r="A17" s="9"/>
      <c r="B17" s="15" t="s">
        <v>17</v>
      </c>
      <c r="C17" s="14" t="s">
        <v>133</v>
      </c>
      <c r="D17" s="13">
        <f>12*0.85*5720.4</f>
        <v>58348.079999999994</v>
      </c>
    </row>
    <row r="18" spans="1:4">
      <c r="A18" s="9"/>
      <c r="B18" s="15" t="s">
        <v>18</v>
      </c>
      <c r="C18" s="14" t="s">
        <v>133</v>
      </c>
      <c r="D18" s="13">
        <f>12*2.49*5720.4</f>
        <v>170925.552</v>
      </c>
    </row>
    <row r="19" spans="1:4">
      <c r="A19" s="9"/>
      <c r="B19" s="15" t="s">
        <v>19</v>
      </c>
      <c r="C19" s="14" t="s">
        <v>133</v>
      </c>
      <c r="D19" s="13">
        <f>12*0.029*5720.4</f>
        <v>1990.6992</v>
      </c>
    </row>
    <row r="20" spans="1:4">
      <c r="A20" s="9"/>
      <c r="B20" s="19" t="s">
        <v>141</v>
      </c>
      <c r="C20" s="14" t="s">
        <v>133</v>
      </c>
      <c r="D20" s="13">
        <v>15000</v>
      </c>
    </row>
    <row r="21" spans="1:4">
      <c r="A21" s="9"/>
      <c r="B21" s="16" t="s">
        <v>20</v>
      </c>
      <c r="C21" s="14" t="s">
        <v>133</v>
      </c>
      <c r="D21" s="11">
        <f>D20+D19+D18+D17+D16+D15+D14+D13+D12</f>
        <v>745312.02719999989</v>
      </c>
    </row>
    <row r="22" spans="1:4">
      <c r="A22" s="9"/>
      <c r="B22" s="10" t="s">
        <v>21</v>
      </c>
      <c r="C22" s="14" t="s">
        <v>133</v>
      </c>
      <c r="D22" s="11">
        <f>D7-D21</f>
        <v>-14931.355199999874</v>
      </c>
    </row>
    <row r="23" spans="1:4">
      <c r="A23" s="9"/>
      <c r="B23" s="69" t="s">
        <v>22</v>
      </c>
      <c r="C23" s="70"/>
      <c r="D23" s="71"/>
    </row>
    <row r="24" spans="1:4">
      <c r="A24" s="9"/>
      <c r="B24" s="10" t="s">
        <v>23</v>
      </c>
      <c r="C24" s="14" t="s">
        <v>133</v>
      </c>
      <c r="D24" s="11"/>
    </row>
    <row r="25" spans="1:4">
      <c r="A25" s="9"/>
      <c r="B25" s="12" t="s">
        <v>24</v>
      </c>
      <c r="C25" s="14" t="s">
        <v>133</v>
      </c>
      <c r="D25" s="13">
        <v>12000</v>
      </c>
    </row>
    <row r="26" spans="1:4">
      <c r="A26" s="9"/>
      <c r="B26" s="12" t="s">
        <v>25</v>
      </c>
      <c r="C26" s="14" t="s">
        <v>133</v>
      </c>
      <c r="D26" s="13">
        <v>1500</v>
      </c>
    </row>
    <row r="27" spans="1:4">
      <c r="A27" s="9"/>
      <c r="B27" s="12" t="s">
        <v>26</v>
      </c>
      <c r="C27" s="14" t="s">
        <v>133</v>
      </c>
      <c r="D27" s="13">
        <v>10000</v>
      </c>
    </row>
    <row r="28" spans="1:4">
      <c r="A28" s="9"/>
      <c r="B28" s="12" t="s">
        <v>32</v>
      </c>
      <c r="C28" s="14" t="s">
        <v>133</v>
      </c>
      <c r="D28" s="13">
        <v>2000</v>
      </c>
    </row>
    <row r="29" spans="1:4">
      <c r="A29" s="9"/>
      <c r="B29" s="12" t="s">
        <v>36</v>
      </c>
      <c r="C29" s="14" t="s">
        <v>133</v>
      </c>
      <c r="D29" s="13">
        <v>25000</v>
      </c>
    </row>
    <row r="30" spans="1:4">
      <c r="A30" s="9"/>
      <c r="B30" s="12" t="s">
        <v>38</v>
      </c>
      <c r="C30" s="14" t="s">
        <v>133</v>
      </c>
      <c r="D30" s="13">
        <v>9000</v>
      </c>
    </row>
    <row r="31" spans="1:4">
      <c r="A31" s="9"/>
      <c r="B31" s="12" t="s">
        <v>41</v>
      </c>
      <c r="C31" s="14" t="s">
        <v>133</v>
      </c>
      <c r="D31" s="13">
        <v>4000</v>
      </c>
    </row>
    <row r="32" spans="1:4">
      <c r="A32" s="9"/>
      <c r="B32" s="12" t="s">
        <v>42</v>
      </c>
      <c r="C32" s="14" t="s">
        <v>133</v>
      </c>
      <c r="D32" s="13">
        <v>66000</v>
      </c>
    </row>
    <row r="33" spans="1:4">
      <c r="A33" s="9"/>
      <c r="B33" s="12" t="s">
        <v>43</v>
      </c>
      <c r="C33" s="14" t="s">
        <v>133</v>
      </c>
      <c r="D33" s="13">
        <v>66000</v>
      </c>
    </row>
    <row r="34" spans="1:4">
      <c r="A34" s="9"/>
      <c r="B34" s="12" t="s">
        <v>44</v>
      </c>
      <c r="C34" s="14" t="s">
        <v>133</v>
      </c>
      <c r="D34" s="13">
        <v>84000</v>
      </c>
    </row>
    <row r="35" spans="1:4">
      <c r="A35" s="9"/>
      <c r="B35" s="12" t="s">
        <v>45</v>
      </c>
      <c r="C35" s="14" t="s">
        <v>133</v>
      </c>
      <c r="D35" s="13">
        <v>80000</v>
      </c>
    </row>
    <row r="36" spans="1:4">
      <c r="A36" s="9"/>
      <c r="B36" s="16" t="s">
        <v>20</v>
      </c>
      <c r="C36" s="14" t="s">
        <v>133</v>
      </c>
      <c r="D36" s="52">
        <f>D35+D34+D33+D32+D31+D30+D29+D28+D27+D26+D25</f>
        <v>359500</v>
      </c>
    </row>
    <row r="37" spans="1:4">
      <c r="A37" s="9"/>
      <c r="B37" s="10" t="s">
        <v>21</v>
      </c>
      <c r="C37" s="14" t="s">
        <v>133</v>
      </c>
      <c r="D37" s="11">
        <f>D8-D36</f>
        <v>-91098.831999999995</v>
      </c>
    </row>
    <row r="38" spans="1:4">
      <c r="A38" s="59"/>
      <c r="B38" s="72" t="s">
        <v>137</v>
      </c>
      <c r="C38" s="72"/>
      <c r="D38" s="72"/>
    </row>
    <row r="39" spans="1:4">
      <c r="A39" s="59"/>
      <c r="B39" s="9" t="s">
        <v>138</v>
      </c>
      <c r="C39" s="14" t="s">
        <v>133</v>
      </c>
      <c r="D39" s="63">
        <v>25000</v>
      </c>
    </row>
    <row r="40" spans="1:4">
      <c r="A40" s="59"/>
      <c r="B40" s="9" t="s">
        <v>139</v>
      </c>
      <c r="C40" s="14" t="s">
        <v>133</v>
      </c>
      <c r="D40" s="63">
        <v>5000</v>
      </c>
    </row>
    <row r="41" spans="1:4">
      <c r="A41" s="59"/>
      <c r="B41" s="16" t="s">
        <v>20</v>
      </c>
      <c r="C41" s="14" t="s">
        <v>133</v>
      </c>
      <c r="D41" s="11">
        <f>D40+D39</f>
        <v>30000</v>
      </c>
    </row>
    <row r="42" spans="1:4">
      <c r="A42" s="59"/>
      <c r="B42" s="10" t="s">
        <v>21</v>
      </c>
      <c r="C42" s="14" t="s">
        <v>133</v>
      </c>
      <c r="D42" s="60">
        <f>D9-D41</f>
        <v>72060</v>
      </c>
    </row>
  </sheetData>
  <mergeCells count="5">
    <mergeCell ref="A2:D2"/>
    <mergeCell ref="B3:D3"/>
    <mergeCell ref="B11:D11"/>
    <mergeCell ref="B23:D23"/>
    <mergeCell ref="B38:D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topLeftCell="A19" workbookViewId="0">
      <selection activeCell="B39" sqref="B39:D43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4"/>
      <c r="B3" s="73"/>
      <c r="C3" s="73"/>
      <c r="D3" s="73"/>
    </row>
    <row r="4" spans="1:4">
      <c r="A4" s="4"/>
      <c r="B4" s="4"/>
      <c r="C4" s="43"/>
      <c r="D4" s="4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/>
      <c r="B8" s="10" t="s">
        <v>5</v>
      </c>
      <c r="C8" s="14" t="s">
        <v>133</v>
      </c>
      <c r="D8" s="11">
        <f>D9+D10+D11</f>
        <v>728974.62</v>
      </c>
    </row>
    <row r="9" spans="1:4">
      <c r="A9" s="9"/>
      <c r="B9" s="12" t="s">
        <v>6</v>
      </c>
      <c r="C9" s="14" t="s">
        <v>133</v>
      </c>
      <c r="D9" s="13">
        <f>12*10.64*3794.7</f>
        <v>484507.29600000003</v>
      </c>
    </row>
    <row r="10" spans="1:4">
      <c r="A10" s="9"/>
      <c r="B10" s="12" t="s">
        <v>7</v>
      </c>
      <c r="C10" s="14" t="s">
        <v>133</v>
      </c>
      <c r="D10" s="13">
        <f>12*3.91*3794.7</f>
        <v>178047.32399999999</v>
      </c>
    </row>
    <row r="11" spans="1:4" ht="24">
      <c r="A11" s="9"/>
      <c r="B11" s="19" t="s">
        <v>51</v>
      </c>
      <c r="C11" s="14" t="s">
        <v>133</v>
      </c>
      <c r="D11" s="13">
        <f>12*135*41</f>
        <v>66420</v>
      </c>
    </row>
    <row r="12" spans="1:4">
      <c r="A12" s="9"/>
      <c r="B12" s="9"/>
      <c r="C12" s="14"/>
      <c r="D12" s="14"/>
    </row>
    <row r="13" spans="1:4">
      <c r="A13" s="9"/>
      <c r="B13" s="69" t="s">
        <v>8</v>
      </c>
      <c r="C13" s="70"/>
      <c r="D13" s="71"/>
    </row>
    <row r="14" spans="1:4">
      <c r="A14" s="9"/>
      <c r="B14" s="15" t="s">
        <v>9</v>
      </c>
      <c r="C14" s="14" t="s">
        <v>133</v>
      </c>
      <c r="D14" s="13">
        <f>12*1.93*3794.7</f>
        <v>87885.251999999993</v>
      </c>
    </row>
    <row r="15" spans="1:4">
      <c r="A15" s="9"/>
      <c r="B15" s="15" t="s">
        <v>10</v>
      </c>
      <c r="C15" s="14" t="s">
        <v>133</v>
      </c>
      <c r="D15" s="13">
        <f>12*1.55*3794.7</f>
        <v>70581.42</v>
      </c>
    </row>
    <row r="16" spans="1:4">
      <c r="A16" s="9"/>
      <c r="B16" s="15" t="s">
        <v>12</v>
      </c>
      <c r="C16" s="14" t="s">
        <v>133</v>
      </c>
      <c r="D16" s="13">
        <f>12*1.65*3794.7</f>
        <v>75135.059999999983</v>
      </c>
    </row>
    <row r="17" spans="1:4">
      <c r="A17" s="9"/>
      <c r="B17" s="15" t="s">
        <v>15</v>
      </c>
      <c r="C17" s="14" t="s">
        <v>133</v>
      </c>
      <c r="D17" s="13">
        <f>12*0.78*3794.7</f>
        <v>35518.391999999993</v>
      </c>
    </row>
    <row r="18" spans="1:4">
      <c r="A18" s="9"/>
      <c r="B18" s="15" t="s">
        <v>16</v>
      </c>
      <c r="C18" s="14" t="s">
        <v>133</v>
      </c>
      <c r="D18" s="13">
        <f>12*1.36*3794.7</f>
        <v>61929.504000000001</v>
      </c>
    </row>
    <row r="19" spans="1:4">
      <c r="A19" s="9"/>
      <c r="B19" s="15" t="s">
        <v>17</v>
      </c>
      <c r="C19" s="14" t="s">
        <v>133</v>
      </c>
      <c r="D19" s="13">
        <f>12*0.85*3794.7</f>
        <v>38705.939999999995</v>
      </c>
    </row>
    <row r="20" spans="1:4">
      <c r="A20" s="9"/>
      <c r="B20" s="15" t="s">
        <v>18</v>
      </c>
      <c r="C20" s="14" t="s">
        <v>133</v>
      </c>
      <c r="D20" s="13">
        <f>12*2.49*3794.7</f>
        <v>113385.636</v>
      </c>
    </row>
    <row r="21" spans="1:4">
      <c r="A21" s="9"/>
      <c r="B21" s="15" t="s">
        <v>19</v>
      </c>
      <c r="C21" s="14" t="s">
        <v>133</v>
      </c>
      <c r="D21" s="13">
        <f>12*0.029*3794.7</f>
        <v>1320.5556000000001</v>
      </c>
    </row>
    <row r="22" spans="1:4">
      <c r="A22" s="9"/>
      <c r="B22" s="19" t="s">
        <v>141</v>
      </c>
      <c r="C22" s="14" t="s">
        <v>133</v>
      </c>
      <c r="D22" s="13">
        <v>10000</v>
      </c>
    </row>
    <row r="23" spans="1:4">
      <c r="A23" s="9"/>
      <c r="B23" s="16" t="s">
        <v>20</v>
      </c>
      <c r="C23" s="14" t="s">
        <v>133</v>
      </c>
      <c r="D23" s="11">
        <f>D22+D21+D20+D19+D18+D17+D16+D15+D14</f>
        <v>494461.75959999993</v>
      </c>
    </row>
    <row r="24" spans="1:4">
      <c r="A24" s="9"/>
      <c r="B24" s="10" t="s">
        <v>21</v>
      </c>
      <c r="C24" s="14" t="s">
        <v>133</v>
      </c>
      <c r="D24" s="11">
        <f>D9-D23</f>
        <v>-9954.4635999999009</v>
      </c>
    </row>
    <row r="25" spans="1:4">
      <c r="A25" s="9"/>
      <c r="B25" s="69" t="s">
        <v>22</v>
      </c>
      <c r="C25" s="70"/>
      <c r="D25" s="71"/>
    </row>
    <row r="26" spans="1:4">
      <c r="A26" s="9"/>
      <c r="B26" s="10" t="s">
        <v>23</v>
      </c>
      <c r="C26" s="14" t="s">
        <v>133</v>
      </c>
      <c r="D26" s="11"/>
    </row>
    <row r="27" spans="1:4">
      <c r="A27" s="9"/>
      <c r="B27" s="12" t="s">
        <v>24</v>
      </c>
      <c r="C27" s="14" t="s">
        <v>133</v>
      </c>
      <c r="D27" s="13">
        <v>2000</v>
      </c>
    </row>
    <row r="28" spans="1:4">
      <c r="A28" s="9"/>
      <c r="B28" s="12" t="s">
        <v>26</v>
      </c>
      <c r="C28" s="14" t="s">
        <v>133</v>
      </c>
      <c r="D28" s="13">
        <v>3000</v>
      </c>
    </row>
    <row r="29" spans="1:4">
      <c r="A29" s="9"/>
      <c r="B29" s="12" t="s">
        <v>27</v>
      </c>
      <c r="C29" s="14" t="s">
        <v>133</v>
      </c>
      <c r="D29" s="13">
        <v>44000</v>
      </c>
    </row>
    <row r="30" spans="1:4">
      <c r="A30" s="9"/>
      <c r="B30" s="12" t="s">
        <v>31</v>
      </c>
      <c r="C30" s="14" t="s">
        <v>133</v>
      </c>
      <c r="D30" s="13">
        <v>2000</v>
      </c>
    </row>
    <row r="31" spans="1:4">
      <c r="A31" s="9"/>
      <c r="B31" s="12" t="s">
        <v>32</v>
      </c>
      <c r="C31" s="14" t="s">
        <v>133</v>
      </c>
      <c r="D31" s="13">
        <v>1500</v>
      </c>
    </row>
    <row r="32" spans="1:4">
      <c r="A32" s="9"/>
      <c r="B32" s="12" t="s">
        <v>38</v>
      </c>
      <c r="C32" s="14" t="s">
        <v>133</v>
      </c>
      <c r="D32" s="13">
        <v>6000</v>
      </c>
    </row>
    <row r="33" spans="1:4">
      <c r="A33" s="9"/>
      <c r="B33" s="12" t="s">
        <v>40</v>
      </c>
      <c r="C33" s="14" t="s">
        <v>133</v>
      </c>
      <c r="D33" s="13">
        <v>4000</v>
      </c>
    </row>
    <row r="34" spans="1:4">
      <c r="A34" s="9"/>
      <c r="B34" s="12" t="s">
        <v>41</v>
      </c>
      <c r="C34" s="14" t="s">
        <v>133</v>
      </c>
      <c r="D34" s="13">
        <v>1500</v>
      </c>
    </row>
    <row r="35" spans="1:4">
      <c r="A35" s="9"/>
      <c r="B35" s="12" t="s">
        <v>42</v>
      </c>
      <c r="C35" s="14" t="s">
        <v>133</v>
      </c>
      <c r="D35" s="13">
        <v>44000</v>
      </c>
    </row>
    <row r="36" spans="1:4">
      <c r="A36" s="9"/>
      <c r="B36" s="12" t="s">
        <v>44</v>
      </c>
      <c r="C36" s="14" t="s">
        <v>133</v>
      </c>
      <c r="D36" s="13">
        <v>56000</v>
      </c>
    </row>
    <row r="37" spans="1:4">
      <c r="A37" s="9"/>
      <c r="B37" s="16" t="s">
        <v>20</v>
      </c>
      <c r="C37" s="14" t="s">
        <v>133</v>
      </c>
      <c r="D37" s="11">
        <f>D36+D35+D34+D33+D32+D31+D30+D29+D28+D27</f>
        <v>164000</v>
      </c>
    </row>
    <row r="38" spans="1:4">
      <c r="A38" s="9"/>
      <c r="B38" s="10" t="s">
        <v>21</v>
      </c>
      <c r="C38" s="14" t="s">
        <v>133</v>
      </c>
      <c r="D38" s="11">
        <f>D10-D37</f>
        <v>14047.323999999993</v>
      </c>
    </row>
    <row r="39" spans="1:4">
      <c r="A39" s="59"/>
      <c r="B39" s="72" t="s">
        <v>137</v>
      </c>
      <c r="C39" s="72"/>
      <c r="D39" s="72"/>
    </row>
    <row r="40" spans="1:4">
      <c r="A40" s="59"/>
      <c r="B40" s="9" t="s">
        <v>138</v>
      </c>
      <c r="C40" s="14" t="s">
        <v>133</v>
      </c>
      <c r="D40" s="63">
        <v>15000</v>
      </c>
    </row>
    <row r="41" spans="1:4">
      <c r="A41" s="59"/>
      <c r="B41" s="9" t="s">
        <v>139</v>
      </c>
      <c r="C41" s="14" t="s">
        <v>133</v>
      </c>
      <c r="D41" s="63">
        <v>5000</v>
      </c>
    </row>
    <row r="42" spans="1:4">
      <c r="A42" s="59"/>
      <c r="B42" s="16" t="s">
        <v>20</v>
      </c>
      <c r="C42" s="14" t="s">
        <v>133</v>
      </c>
      <c r="D42" s="11">
        <f>D41+D40</f>
        <v>20000</v>
      </c>
    </row>
    <row r="43" spans="1:4">
      <c r="A43" s="59"/>
      <c r="B43" s="10" t="s">
        <v>21</v>
      </c>
      <c r="C43" s="14" t="s">
        <v>133</v>
      </c>
      <c r="D43" s="60">
        <f>D11-D42</f>
        <v>46420</v>
      </c>
    </row>
  </sheetData>
  <mergeCells count="6">
    <mergeCell ref="B39:D39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topLeftCell="A22" workbookViewId="0">
      <selection activeCell="A36" sqref="A36:D40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594465.12</v>
      </c>
    </row>
    <row r="9" spans="1:4">
      <c r="A9" s="9">
        <v>2</v>
      </c>
      <c r="B9" s="12" t="s">
        <v>6</v>
      </c>
      <c r="C9" s="14" t="s">
        <v>133</v>
      </c>
      <c r="D9" s="13">
        <f>12*10.64*2987.2</f>
        <v>381405.696</v>
      </c>
    </row>
    <row r="10" spans="1:4">
      <c r="A10" s="9">
        <v>3</v>
      </c>
      <c r="B10" s="12" t="s">
        <v>7</v>
      </c>
      <c r="C10" s="14" t="s">
        <v>133</v>
      </c>
      <c r="D10" s="13">
        <f>12*3.91*2987.2</f>
        <v>140159.424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12*135*45</f>
        <v>72900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12*1.93*2987.2</f>
        <v>69183.551999999996</v>
      </c>
    </row>
    <row r="15" spans="1:4">
      <c r="A15" s="9">
        <v>14</v>
      </c>
      <c r="B15" s="15" t="s">
        <v>10</v>
      </c>
      <c r="C15" s="14" t="s">
        <v>133</v>
      </c>
      <c r="D15" s="13">
        <f>12*1.55*2987.2</f>
        <v>55561.919999999998</v>
      </c>
    </row>
    <row r="16" spans="1:4">
      <c r="A16" s="9">
        <v>16</v>
      </c>
      <c r="B16" s="15" t="s">
        <v>12</v>
      </c>
      <c r="C16" s="14" t="s">
        <v>133</v>
      </c>
      <c r="D16" s="13">
        <f>12*1.65*2987.2</f>
        <v>59146.55999999999</v>
      </c>
    </row>
    <row r="17" spans="1:4">
      <c r="A17" s="9">
        <v>19</v>
      </c>
      <c r="B17" s="15" t="s">
        <v>15</v>
      </c>
      <c r="C17" s="14" t="s">
        <v>133</v>
      </c>
      <c r="D17" s="13">
        <f>12*0.78*2987.2</f>
        <v>27960.191999999995</v>
      </c>
    </row>
    <row r="18" spans="1:4">
      <c r="A18" s="9">
        <v>20</v>
      </c>
      <c r="B18" s="15" t="s">
        <v>16</v>
      </c>
      <c r="C18" s="14" t="s">
        <v>133</v>
      </c>
      <c r="D18" s="13">
        <f>12*1.36*2987.2</f>
        <v>48751.103999999999</v>
      </c>
    </row>
    <row r="19" spans="1:4">
      <c r="A19" s="9">
        <v>21</v>
      </c>
      <c r="B19" s="15" t="s">
        <v>17</v>
      </c>
      <c r="C19" s="14" t="s">
        <v>133</v>
      </c>
      <c r="D19" s="13">
        <f>12*0.85*2987.2</f>
        <v>30469.439999999995</v>
      </c>
    </row>
    <row r="20" spans="1:4">
      <c r="A20" s="9">
        <v>22</v>
      </c>
      <c r="B20" s="15" t="s">
        <v>18</v>
      </c>
      <c r="C20" s="14" t="s">
        <v>133</v>
      </c>
      <c r="D20" s="13">
        <f>12*2.49*2987.2</f>
        <v>89257.536000000007</v>
      </c>
    </row>
    <row r="21" spans="1:4">
      <c r="A21" s="9">
        <v>23</v>
      </c>
      <c r="B21" s="15" t="s">
        <v>19</v>
      </c>
      <c r="C21" s="14" t="s">
        <v>133</v>
      </c>
      <c r="D21" s="13">
        <f>12*0.029*2987.2</f>
        <v>1039.5455999999999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391369.84959999996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-9964.1535999999614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1000</v>
      </c>
    </row>
    <row r="28" spans="1:4">
      <c r="A28" s="9">
        <v>33</v>
      </c>
      <c r="B28" s="12" t="s">
        <v>26</v>
      </c>
      <c r="C28" s="14" t="s">
        <v>133</v>
      </c>
      <c r="D28" s="13">
        <v>3000</v>
      </c>
    </row>
    <row r="29" spans="1:4">
      <c r="A29" s="9">
        <v>34</v>
      </c>
      <c r="B29" s="12" t="s">
        <v>27</v>
      </c>
      <c r="C29" s="14" t="s">
        <v>133</v>
      </c>
      <c r="D29" s="13">
        <v>33000</v>
      </c>
    </row>
    <row r="30" spans="1:4">
      <c r="A30" s="9">
        <v>43</v>
      </c>
      <c r="B30" s="12" t="s">
        <v>32</v>
      </c>
      <c r="C30" s="14" t="s">
        <v>133</v>
      </c>
      <c r="D30" s="13">
        <v>1000</v>
      </c>
    </row>
    <row r="31" spans="1:4">
      <c r="A31" s="9">
        <v>68</v>
      </c>
      <c r="B31" s="12" t="s">
        <v>38</v>
      </c>
      <c r="C31" s="14" t="s">
        <v>133</v>
      </c>
      <c r="D31" s="13">
        <v>5000</v>
      </c>
    </row>
    <row r="32" spans="1:4">
      <c r="A32" s="9">
        <v>75</v>
      </c>
      <c r="B32" s="12" t="s">
        <v>41</v>
      </c>
      <c r="C32" s="14" t="s">
        <v>133</v>
      </c>
      <c r="D32" s="13">
        <v>4000</v>
      </c>
    </row>
    <row r="33" spans="1:4">
      <c r="A33" s="9">
        <v>84</v>
      </c>
      <c r="B33" s="12" t="s">
        <v>44</v>
      </c>
      <c r="C33" s="14" t="s">
        <v>133</v>
      </c>
      <c r="D33" s="13">
        <v>42000</v>
      </c>
    </row>
    <row r="34" spans="1:4">
      <c r="A34" s="9"/>
      <c r="B34" s="16" t="s">
        <v>20</v>
      </c>
      <c r="C34" s="14" t="s">
        <v>133</v>
      </c>
      <c r="D34" s="11">
        <f>D33+D32+D31+D30+D29+D28+D27+D26+D25</f>
        <v>89000</v>
      </c>
    </row>
    <row r="35" spans="1:4">
      <c r="A35" s="9">
        <v>100</v>
      </c>
      <c r="B35" s="10" t="s">
        <v>21</v>
      </c>
      <c r="C35" s="14" t="s">
        <v>133</v>
      </c>
      <c r="D35" s="11">
        <f>D10-D34</f>
        <v>51159.423999999999</v>
      </c>
    </row>
    <row r="36" spans="1:4">
      <c r="A36" s="59"/>
      <c r="B36" s="72" t="s">
        <v>137</v>
      </c>
      <c r="C36" s="72"/>
      <c r="D36" s="72"/>
    </row>
    <row r="37" spans="1:4">
      <c r="A37" s="59"/>
      <c r="B37" s="9" t="s">
        <v>138</v>
      </c>
      <c r="C37" s="14" t="s">
        <v>133</v>
      </c>
      <c r="D37" s="63">
        <v>15000</v>
      </c>
    </row>
    <row r="38" spans="1:4">
      <c r="A38" s="59"/>
      <c r="B38" s="9" t="s">
        <v>139</v>
      </c>
      <c r="C38" s="14" t="s">
        <v>133</v>
      </c>
      <c r="D38" s="63">
        <v>5000</v>
      </c>
    </row>
    <row r="39" spans="1:4">
      <c r="A39" s="59"/>
      <c r="B39" s="16" t="s">
        <v>20</v>
      </c>
      <c r="C39" s="14" t="s">
        <v>133</v>
      </c>
      <c r="D39" s="11">
        <f>D38+D37</f>
        <v>20000</v>
      </c>
    </row>
    <row r="40" spans="1:4">
      <c r="A40" s="59"/>
      <c r="B40" s="10" t="s">
        <v>21</v>
      </c>
      <c r="C40" s="14" t="s">
        <v>133</v>
      </c>
      <c r="D40" s="60">
        <f>D11-D39</f>
        <v>52900</v>
      </c>
    </row>
  </sheetData>
  <mergeCells count="6">
    <mergeCell ref="B36:D36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topLeftCell="A22" workbookViewId="0">
      <selection activeCell="A38" sqref="A38:D42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5" t="s">
        <v>0</v>
      </c>
      <c r="B2" s="65"/>
      <c r="C2" s="65"/>
      <c r="D2" s="65"/>
    </row>
    <row r="3" spans="1:4">
      <c r="A3" s="5"/>
      <c r="B3" s="73"/>
      <c r="C3" s="73"/>
      <c r="D3" s="73"/>
    </row>
    <row r="4" spans="1:4">
      <c r="A4" s="5"/>
      <c r="B4" s="5"/>
      <c r="C4" s="43"/>
      <c r="D4" s="5"/>
    </row>
    <row r="5" spans="1:4">
      <c r="A5" s="6"/>
      <c r="B5" s="74"/>
      <c r="C5" s="74"/>
      <c r="D5" s="74"/>
    </row>
    <row r="6" spans="1:4">
      <c r="A6" s="1"/>
      <c r="B6" s="1"/>
      <c r="C6" s="7"/>
      <c r="D6" s="7"/>
    </row>
    <row r="7" spans="1:4">
      <c r="A7" s="8" t="s">
        <v>1</v>
      </c>
      <c r="B7" s="8" t="s">
        <v>2</v>
      </c>
      <c r="C7" s="8" t="s">
        <v>3</v>
      </c>
      <c r="D7" s="8" t="s">
        <v>4</v>
      </c>
    </row>
    <row r="8" spans="1:4">
      <c r="A8" s="9">
        <v>1</v>
      </c>
      <c r="B8" s="10" t="s">
        <v>5</v>
      </c>
      <c r="C8" s="14" t="s">
        <v>133</v>
      </c>
      <c r="D8" s="11">
        <f>D9+D10+D11</f>
        <v>802339.56</v>
      </c>
    </row>
    <row r="9" spans="1:4">
      <c r="A9" s="9">
        <v>2</v>
      </c>
      <c r="B9" s="12" t="s">
        <v>6</v>
      </c>
      <c r="C9" s="14" t="s">
        <v>133</v>
      </c>
      <c r="D9" s="13">
        <f>12*10.64*4038.6</f>
        <v>515648.44800000003</v>
      </c>
    </row>
    <row r="10" spans="1:4">
      <c r="A10" s="9">
        <v>3</v>
      </c>
      <c r="B10" s="12" t="s">
        <v>7</v>
      </c>
      <c r="C10" s="14" t="s">
        <v>133</v>
      </c>
      <c r="D10" s="13">
        <f>12*3.91*4038.6</f>
        <v>189491.11199999999</v>
      </c>
    </row>
    <row r="11" spans="1:4" ht="24">
      <c r="A11" s="9">
        <v>4</v>
      </c>
      <c r="B11" s="19" t="s">
        <v>51</v>
      </c>
      <c r="C11" s="14" t="s">
        <v>133</v>
      </c>
      <c r="D11" s="13">
        <f>12*135*60</f>
        <v>97200</v>
      </c>
    </row>
    <row r="12" spans="1:4">
      <c r="A12" s="9">
        <v>11</v>
      </c>
      <c r="B12" s="9"/>
      <c r="C12" s="14"/>
      <c r="D12" s="14"/>
    </row>
    <row r="13" spans="1:4">
      <c r="A13" s="9">
        <v>12</v>
      </c>
      <c r="B13" s="69" t="s">
        <v>8</v>
      </c>
      <c r="C13" s="70"/>
      <c r="D13" s="71"/>
    </row>
    <row r="14" spans="1:4">
      <c r="A14" s="9">
        <v>13</v>
      </c>
      <c r="B14" s="15" t="s">
        <v>9</v>
      </c>
      <c r="C14" s="14" t="s">
        <v>133</v>
      </c>
      <c r="D14" s="13">
        <f>12*1.93*4038.6</f>
        <v>93533.975999999995</v>
      </c>
    </row>
    <row r="15" spans="1:4">
      <c r="A15" s="9">
        <v>14</v>
      </c>
      <c r="B15" s="15" t="s">
        <v>10</v>
      </c>
      <c r="C15" s="14" t="s">
        <v>133</v>
      </c>
      <c r="D15" s="13">
        <f>12*1.55*4038.6</f>
        <v>75117.960000000006</v>
      </c>
    </row>
    <row r="16" spans="1:4">
      <c r="A16" s="9">
        <v>16</v>
      </c>
      <c r="B16" s="15" t="s">
        <v>12</v>
      </c>
      <c r="C16" s="14" t="s">
        <v>133</v>
      </c>
      <c r="D16" s="13">
        <f>12*1.65*4038.6</f>
        <v>79964.279999999984</v>
      </c>
    </row>
    <row r="17" spans="1:4">
      <c r="A17" s="9">
        <v>19</v>
      </c>
      <c r="B17" s="15" t="s">
        <v>15</v>
      </c>
      <c r="C17" s="14" t="s">
        <v>133</v>
      </c>
      <c r="D17" s="13">
        <f>12*0.78*4038.6</f>
        <v>37801.295999999995</v>
      </c>
    </row>
    <row r="18" spans="1:4">
      <c r="A18" s="9">
        <v>20</v>
      </c>
      <c r="B18" s="15" t="s">
        <v>16</v>
      </c>
      <c r="C18" s="14" t="s">
        <v>133</v>
      </c>
      <c r="D18" s="13">
        <f>12*1.36*4038.6</f>
        <v>65909.952000000005</v>
      </c>
    </row>
    <row r="19" spans="1:4">
      <c r="A19" s="9">
        <v>21</v>
      </c>
      <c r="B19" s="15" t="s">
        <v>17</v>
      </c>
      <c r="C19" s="14" t="s">
        <v>133</v>
      </c>
      <c r="D19" s="13">
        <f>12*0.85*4038.6</f>
        <v>41193.719999999994</v>
      </c>
    </row>
    <row r="20" spans="1:4">
      <c r="A20" s="9">
        <v>22</v>
      </c>
      <c r="B20" s="15" t="s">
        <v>18</v>
      </c>
      <c r="C20" s="14" t="s">
        <v>133</v>
      </c>
      <c r="D20" s="13">
        <f>12*2.49*4038.6</f>
        <v>120673.368</v>
      </c>
    </row>
    <row r="21" spans="1:4">
      <c r="A21" s="9">
        <v>23</v>
      </c>
      <c r="B21" s="15" t="s">
        <v>19</v>
      </c>
      <c r="C21" s="14" t="s">
        <v>133</v>
      </c>
      <c r="D21" s="13">
        <f>12*0.029*4038.6</f>
        <v>1405.4328</v>
      </c>
    </row>
    <row r="22" spans="1:4">
      <c r="A22" s="9">
        <v>24</v>
      </c>
      <c r="B22" s="19" t="s">
        <v>141</v>
      </c>
      <c r="C22" s="14" t="s">
        <v>133</v>
      </c>
      <c r="D22" s="13">
        <v>10000</v>
      </c>
    </row>
    <row r="23" spans="1:4">
      <c r="A23" s="9">
        <v>25</v>
      </c>
      <c r="B23" s="16" t="s">
        <v>20</v>
      </c>
      <c r="C23" s="14" t="s">
        <v>133</v>
      </c>
      <c r="D23" s="11">
        <f>D22+D21+D20+D19+D18+D17+D16+D15+D14</f>
        <v>525599.98479999998</v>
      </c>
    </row>
    <row r="24" spans="1:4">
      <c r="A24" s="9">
        <v>26</v>
      </c>
      <c r="B24" s="10" t="s">
        <v>21</v>
      </c>
      <c r="C24" s="14" t="s">
        <v>133</v>
      </c>
      <c r="D24" s="11">
        <f>D9-D23</f>
        <v>-9951.5367999999435</v>
      </c>
    </row>
    <row r="25" spans="1:4">
      <c r="A25" s="9">
        <v>27</v>
      </c>
      <c r="B25" s="69" t="s">
        <v>22</v>
      </c>
      <c r="C25" s="70"/>
      <c r="D25" s="71"/>
    </row>
    <row r="26" spans="1:4">
      <c r="A26" s="9">
        <v>28</v>
      </c>
      <c r="B26" s="10" t="s">
        <v>23</v>
      </c>
      <c r="C26" s="14" t="s">
        <v>133</v>
      </c>
      <c r="D26" s="11"/>
    </row>
    <row r="27" spans="1:4">
      <c r="A27" s="9">
        <v>29</v>
      </c>
      <c r="B27" s="12" t="s">
        <v>24</v>
      </c>
      <c r="C27" s="14" t="s">
        <v>133</v>
      </c>
      <c r="D27" s="13">
        <v>1500</v>
      </c>
    </row>
    <row r="28" spans="1:4">
      <c r="A28" s="9">
        <v>31</v>
      </c>
      <c r="B28" s="12" t="s">
        <v>25</v>
      </c>
      <c r="C28" s="14" t="s">
        <v>133</v>
      </c>
      <c r="D28" s="13">
        <v>1000</v>
      </c>
    </row>
    <row r="29" spans="1:4">
      <c r="A29" s="9">
        <v>33</v>
      </c>
      <c r="B29" s="12" t="s">
        <v>26</v>
      </c>
      <c r="C29" s="14" t="s">
        <v>133</v>
      </c>
      <c r="D29" s="13">
        <v>2500</v>
      </c>
    </row>
    <row r="30" spans="1:4">
      <c r="A30" s="9">
        <v>34</v>
      </c>
      <c r="B30" s="12" t="s">
        <v>27</v>
      </c>
      <c r="C30" s="14" t="s">
        <v>133</v>
      </c>
      <c r="D30" s="13">
        <v>44000</v>
      </c>
    </row>
    <row r="31" spans="1:4">
      <c r="A31" s="9">
        <v>39</v>
      </c>
      <c r="B31" s="12" t="s">
        <v>29</v>
      </c>
      <c r="C31" s="14" t="s">
        <v>133</v>
      </c>
      <c r="D31" s="13">
        <v>1000</v>
      </c>
    </row>
    <row r="32" spans="1:4">
      <c r="A32" s="9">
        <v>75</v>
      </c>
      <c r="B32" s="12" t="s">
        <v>41</v>
      </c>
      <c r="C32" s="14" t="s">
        <v>133</v>
      </c>
      <c r="D32" s="13">
        <v>2500</v>
      </c>
    </row>
    <row r="33" spans="1:4">
      <c r="A33" s="9">
        <v>76</v>
      </c>
      <c r="B33" s="12" t="s">
        <v>143</v>
      </c>
      <c r="C33" s="14" t="s">
        <v>133</v>
      </c>
      <c r="D33" s="13">
        <v>6000</v>
      </c>
    </row>
    <row r="34" spans="1:4">
      <c r="A34" s="9">
        <v>84</v>
      </c>
      <c r="B34" s="12" t="s">
        <v>44</v>
      </c>
      <c r="C34" s="14" t="s">
        <v>133</v>
      </c>
      <c r="D34" s="13">
        <v>56000</v>
      </c>
    </row>
    <row r="35" spans="1:4">
      <c r="A35" s="9">
        <v>97</v>
      </c>
      <c r="B35" s="12" t="s">
        <v>49</v>
      </c>
      <c r="C35" s="14" t="s">
        <v>133</v>
      </c>
      <c r="D35" s="13">
        <v>5000</v>
      </c>
    </row>
    <row r="36" spans="1:4">
      <c r="A36" s="9">
        <v>99</v>
      </c>
      <c r="B36" s="16" t="s">
        <v>20</v>
      </c>
      <c r="C36" s="14" t="s">
        <v>133</v>
      </c>
      <c r="D36" s="52">
        <f>D35+D34+D33+D32+D31+D30+D29+D28+D27</f>
        <v>119500</v>
      </c>
    </row>
    <row r="37" spans="1:4">
      <c r="A37" s="9">
        <v>100</v>
      </c>
      <c r="B37" s="10" t="s">
        <v>21</v>
      </c>
      <c r="C37" s="14" t="s">
        <v>133</v>
      </c>
      <c r="D37" s="11">
        <f>D10-D36</f>
        <v>69991.111999999994</v>
      </c>
    </row>
    <row r="38" spans="1:4">
      <c r="A38" s="59"/>
      <c r="B38" s="72" t="s">
        <v>137</v>
      </c>
      <c r="C38" s="72"/>
      <c r="D38" s="72"/>
    </row>
    <row r="39" spans="1:4">
      <c r="A39" s="59"/>
      <c r="B39" s="9" t="s">
        <v>138</v>
      </c>
      <c r="C39" s="14" t="s">
        <v>133</v>
      </c>
      <c r="D39" s="63">
        <v>15000</v>
      </c>
    </row>
    <row r="40" spans="1:4">
      <c r="A40" s="59"/>
      <c r="B40" s="9" t="s">
        <v>139</v>
      </c>
      <c r="C40" s="14" t="s">
        <v>133</v>
      </c>
      <c r="D40" s="63">
        <v>5000</v>
      </c>
    </row>
    <row r="41" spans="1:4">
      <c r="A41" s="59"/>
      <c r="B41" s="16" t="s">
        <v>20</v>
      </c>
      <c r="C41" s="14" t="s">
        <v>133</v>
      </c>
      <c r="D41" s="11">
        <f>D40+D39</f>
        <v>20000</v>
      </c>
    </row>
    <row r="42" spans="1:4">
      <c r="A42" s="59"/>
      <c r="B42" s="10" t="s">
        <v>21</v>
      </c>
      <c r="C42" s="14" t="s">
        <v>133</v>
      </c>
      <c r="D42" s="60">
        <f>D11-D41</f>
        <v>77200</v>
      </c>
    </row>
  </sheetData>
  <mergeCells count="6">
    <mergeCell ref="B38:D38"/>
    <mergeCell ref="B25:D25"/>
    <mergeCell ref="A2:D2"/>
    <mergeCell ref="B3:D3"/>
    <mergeCell ref="B5:D5"/>
    <mergeCell ref="B13:D13"/>
  </mergeCells>
  <dataValidations count="1">
    <dataValidation type="list" allowBlank="1" showInputMessage="1" showErrorMessage="1" sqref="B5:D5">
      <formula1>Адреса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кедровая 4</vt:lpstr>
      <vt:lpstr>зелёная 3</vt:lpstr>
      <vt:lpstr>зеленая 4</vt:lpstr>
      <vt:lpstr>зелёная 5</vt:lpstr>
      <vt:lpstr>сибирская 2</vt:lpstr>
      <vt:lpstr>сибирская 6</vt:lpstr>
      <vt:lpstr>сибирская 8</vt:lpstr>
      <vt:lpstr>сибирская 10</vt:lpstr>
      <vt:lpstr>сибирская 14</vt:lpstr>
      <vt:lpstr>сибирская 16</vt:lpstr>
      <vt:lpstr>зеленая 8</vt:lpstr>
      <vt:lpstr>зелёная 10</vt:lpstr>
      <vt:lpstr>зелёная 11</vt:lpstr>
      <vt:lpstr>зелёная 12</vt:lpstr>
      <vt:lpstr>зелёная 14</vt:lpstr>
      <vt:lpstr>зелёная 17</vt:lpstr>
      <vt:lpstr>зелёная 19</vt:lpstr>
      <vt:lpstr>снежная 1</vt:lpstr>
      <vt:lpstr>снежная 3</vt:lpstr>
      <vt:lpstr>снежная 5</vt:lpstr>
      <vt:lpstr>снежная 7</vt:lpstr>
      <vt:lpstr>снежная 9</vt:lpstr>
      <vt:lpstr>снежная 12</vt:lpstr>
      <vt:lpstr>снежная 4</vt:lpstr>
      <vt:lpstr>снежная 6</vt:lpstr>
      <vt:lpstr>снежная 6а</vt:lpstr>
      <vt:lpstr>снежная 8</vt:lpstr>
      <vt:lpstr>берёзовая 5</vt:lpstr>
      <vt:lpstr>тариф</vt:lpstr>
      <vt:lpstr>площадь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2013-05-14T02:08:58Z</cp:lastPrinted>
  <dcterms:created xsi:type="dcterms:W3CDTF">2013-04-24T07:00:59Z</dcterms:created>
  <dcterms:modified xsi:type="dcterms:W3CDTF">2013-08-19T07:14:37Z</dcterms:modified>
</cp:coreProperties>
</file>